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6" documentId="13_ncr:1_{417C6627-61EE-4F8C-9455-3D4621948F8A}" xr6:coauthVersionLast="47" xr6:coauthVersionMax="47" xr10:uidLastSave="{22A314A3-F7E7-4171-B051-C7EEDF5D639D}"/>
  <bookViews>
    <workbookView xWindow="-108" yWindow="-108" windowWidth="23256" windowHeight="12576" tabRatio="854" activeTab="3" xr2:uid="{00000000-000D-0000-FFFF-FFFF00000000}"/>
  </bookViews>
  <sheets>
    <sheet name="Figure 2-Soil C" sheetId="11" r:id="rId1"/>
    <sheet name="Figure 3&amp;4-Soil C isotope" sheetId="13" r:id="rId2"/>
    <sheet name="Figure 5- CO2 concentrations" sheetId="16" r:id="rId3"/>
    <sheet name="CO2-C loss" sheetId="1" r:id="rId4"/>
    <sheet name="Figure 6-Leaching C" sheetId="4" r:id="rId5"/>
    <sheet name="Table 1-grass C" sheetId="3" r:id="rId6"/>
    <sheet name="Table 2-Total change" sheetId="7" r:id="rId7"/>
    <sheet name="Table S4" sheetId="15" r:id="rId8"/>
    <sheet name="Table S9-C from amendments" sheetId="12" r:id="rId9"/>
    <sheet name="Table S10-CO2 flux" sheetId="14" r:id="rId10"/>
    <sheet name="Average-FigureS1" sheetId="1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7" l="1"/>
  <c r="C6" i="7"/>
  <c r="C4" i="7"/>
  <c r="E13" i="3"/>
  <c r="E14" i="3"/>
  <c r="E12" i="3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12" i="4"/>
  <c r="S14" i="14" l="1"/>
  <c r="S12" i="14"/>
  <c r="P23" i="11"/>
  <c r="F6" i="3"/>
  <c r="F3" i="3"/>
  <c r="N4" i="4"/>
  <c r="Q19" i="1"/>
  <c r="AC19" i="1" s="1"/>
  <c r="R19" i="1"/>
  <c r="S19" i="1"/>
  <c r="T19" i="1"/>
  <c r="U19" i="1"/>
  <c r="V19" i="1"/>
  <c r="W19" i="1"/>
  <c r="X19" i="1"/>
  <c r="Y19" i="1"/>
  <c r="Z19" i="1"/>
  <c r="AA19" i="1"/>
  <c r="AB19" i="1"/>
  <c r="Q20" i="1"/>
  <c r="R20" i="1"/>
  <c r="S20" i="1"/>
  <c r="T20" i="1"/>
  <c r="U20" i="1"/>
  <c r="V20" i="1"/>
  <c r="W20" i="1"/>
  <c r="X20" i="1"/>
  <c r="Y20" i="1"/>
  <c r="Z20" i="1"/>
  <c r="AA20" i="1"/>
  <c r="AB20" i="1"/>
  <c r="Q21" i="1"/>
  <c r="R21" i="1"/>
  <c r="S21" i="1"/>
  <c r="T21" i="1"/>
  <c r="U21" i="1"/>
  <c r="V21" i="1"/>
  <c r="W21" i="1"/>
  <c r="X21" i="1"/>
  <c r="Y21" i="1"/>
  <c r="Z21" i="1"/>
  <c r="AA21" i="1"/>
  <c r="AB21" i="1"/>
  <c r="Q22" i="1"/>
  <c r="R22" i="1"/>
  <c r="S22" i="1"/>
  <c r="T22" i="1"/>
  <c r="U22" i="1"/>
  <c r="V22" i="1"/>
  <c r="W22" i="1"/>
  <c r="X22" i="1"/>
  <c r="Y22" i="1"/>
  <c r="Z22" i="1"/>
  <c r="AA22" i="1"/>
  <c r="AB22" i="1"/>
  <c r="P22" i="1"/>
  <c r="P20" i="1"/>
  <c r="W12" i="1"/>
  <c r="G27" i="16"/>
  <c r="G26" i="16"/>
  <c r="G25" i="16"/>
  <c r="G24" i="16"/>
  <c r="C27" i="16"/>
  <c r="C26" i="16"/>
  <c r="C25" i="16"/>
  <c r="C24" i="16"/>
  <c r="D6" i="3"/>
  <c r="H27" i="16"/>
  <c r="D27" i="16"/>
  <c r="H26" i="16"/>
  <c r="D26" i="16"/>
  <c r="H25" i="16"/>
  <c r="D25" i="16"/>
  <c r="H24" i="16"/>
  <c r="D24" i="16"/>
  <c r="B6" i="7" l="1"/>
  <c r="B4" i="7"/>
  <c r="B6" i="15"/>
  <c r="B7" i="15" s="1"/>
  <c r="B9" i="15" s="1"/>
  <c r="B11" i="15" s="1"/>
  <c r="B13" i="15" s="1"/>
  <c r="B14" i="15" s="1"/>
  <c r="B15" i="15" s="1"/>
  <c r="C5" i="7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C9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C6" i="14"/>
  <c r="S7" i="14"/>
  <c r="S4" i="14"/>
  <c r="S5" i="14" l="1"/>
  <c r="S8" i="14"/>
  <c r="H26" i="12"/>
  <c r="D26" i="12"/>
  <c r="I22" i="12" l="1"/>
  <c r="E22" i="12"/>
  <c r="I21" i="12"/>
  <c r="E21" i="12"/>
  <c r="I20" i="12"/>
  <c r="E20" i="12"/>
  <c r="I19" i="12"/>
  <c r="E19" i="12"/>
  <c r="I18" i="12"/>
  <c r="E18" i="12"/>
  <c r="I17" i="12"/>
  <c r="E17" i="12"/>
  <c r="E23" i="12" s="1"/>
  <c r="I16" i="12"/>
  <c r="I23" i="12" s="1"/>
  <c r="E16" i="12"/>
  <c r="I14" i="12"/>
  <c r="E14" i="12"/>
  <c r="I13" i="12"/>
  <c r="E13" i="12"/>
  <c r="I12" i="12"/>
  <c r="E12" i="12"/>
  <c r="I11" i="12"/>
  <c r="E11" i="12"/>
  <c r="I10" i="12"/>
  <c r="E10" i="12"/>
  <c r="I9" i="12"/>
  <c r="E9" i="12"/>
  <c r="I8" i="12"/>
  <c r="E8" i="12"/>
  <c r="I7" i="12"/>
  <c r="E7" i="12"/>
  <c r="E15" i="12" s="1"/>
  <c r="I6" i="12"/>
  <c r="I15" i="12" s="1"/>
  <c r="E6" i="12"/>
  <c r="AA28" i="11" l="1"/>
  <c r="Z28" i="11"/>
  <c r="Y28" i="11"/>
  <c r="X28" i="11"/>
  <c r="AC28" i="11"/>
  <c r="AB28" i="11"/>
  <c r="P28" i="11"/>
  <c r="O28" i="11"/>
  <c r="N28" i="11"/>
  <c r="M28" i="11"/>
  <c r="L28" i="11"/>
  <c r="K28" i="11"/>
  <c r="AC27" i="11"/>
  <c r="AA27" i="11"/>
  <c r="Z27" i="11"/>
  <c r="Y27" i="11"/>
  <c r="X27" i="11"/>
  <c r="AB27" i="11"/>
  <c r="P27" i="11"/>
  <c r="O27" i="11"/>
  <c r="N27" i="11"/>
  <c r="M27" i="11"/>
  <c r="L27" i="11"/>
  <c r="K27" i="11"/>
  <c r="AC26" i="11"/>
  <c r="AA26" i="11"/>
  <c r="Z26" i="11"/>
  <c r="Y26" i="11"/>
  <c r="X26" i="11"/>
  <c r="AB26" i="11"/>
  <c r="P26" i="11"/>
  <c r="N26" i="11"/>
  <c r="M26" i="11"/>
  <c r="L26" i="11"/>
  <c r="K26" i="11"/>
  <c r="AC25" i="11"/>
  <c r="AA25" i="11"/>
  <c r="Z25" i="11"/>
  <c r="Y25" i="11"/>
  <c r="X25" i="11"/>
  <c r="AB25" i="11"/>
  <c r="P25" i="11"/>
  <c r="O25" i="11"/>
  <c r="N25" i="11"/>
  <c r="M25" i="11"/>
  <c r="L25" i="11"/>
  <c r="K25" i="11"/>
  <c r="AC24" i="11"/>
  <c r="AA24" i="11"/>
  <c r="Z24" i="11"/>
  <c r="Y24" i="11"/>
  <c r="X24" i="11"/>
  <c r="AB24" i="11"/>
  <c r="P24" i="11"/>
  <c r="N24" i="11"/>
  <c r="M24" i="11"/>
  <c r="L24" i="11"/>
  <c r="K24" i="11"/>
  <c r="O24" i="11"/>
  <c r="O23" i="11"/>
  <c r="N23" i="11"/>
  <c r="M23" i="11"/>
  <c r="L23" i="11"/>
  <c r="K23" i="11"/>
  <c r="AC22" i="11"/>
  <c r="AB22" i="11"/>
  <c r="AA22" i="11"/>
  <c r="Z22" i="11"/>
  <c r="Y22" i="11"/>
  <c r="X22" i="11"/>
  <c r="P22" i="11"/>
  <c r="N22" i="11"/>
  <c r="M22" i="11"/>
  <c r="L22" i="11"/>
  <c r="K22" i="11"/>
  <c r="P21" i="11"/>
  <c r="N21" i="11"/>
  <c r="M21" i="11"/>
  <c r="L21" i="11"/>
  <c r="K21" i="11"/>
  <c r="O21" i="11"/>
  <c r="P20" i="11"/>
  <c r="O20" i="11"/>
  <c r="N20" i="11"/>
  <c r="M20" i="11"/>
  <c r="L20" i="11"/>
  <c r="K20" i="11"/>
  <c r="AC19" i="11"/>
  <c r="AB19" i="11"/>
  <c r="AA19" i="11"/>
  <c r="Z19" i="11"/>
  <c r="Y19" i="11"/>
  <c r="X19" i="11"/>
  <c r="N19" i="11"/>
  <c r="M19" i="11"/>
  <c r="L19" i="11"/>
  <c r="K19" i="11"/>
  <c r="AC18" i="11"/>
  <c r="AB18" i="11"/>
  <c r="AA18" i="11"/>
  <c r="Z18" i="11"/>
  <c r="Y18" i="11"/>
  <c r="X18" i="11"/>
  <c r="P18" i="11"/>
  <c r="O18" i="11"/>
  <c r="N18" i="11"/>
  <c r="M18" i="11"/>
  <c r="L18" i="11"/>
  <c r="K18" i="11"/>
  <c r="AC16" i="11"/>
  <c r="AB16" i="11"/>
  <c r="AA16" i="11"/>
  <c r="Z16" i="11"/>
  <c r="Y16" i="11"/>
  <c r="X16" i="11"/>
  <c r="P16" i="11"/>
  <c r="O16" i="11"/>
  <c r="N16" i="11"/>
  <c r="M16" i="11"/>
  <c r="L16" i="11"/>
  <c r="K16" i="11"/>
  <c r="AC15" i="11"/>
  <c r="AB15" i="11"/>
  <c r="AA15" i="11"/>
  <c r="Z15" i="11"/>
  <c r="Y15" i="11"/>
  <c r="X15" i="11"/>
  <c r="P15" i="11"/>
  <c r="O15" i="11"/>
  <c r="N15" i="11"/>
  <c r="M15" i="11"/>
  <c r="L15" i="11"/>
  <c r="K15" i="11"/>
  <c r="AC14" i="11"/>
  <c r="AA14" i="11"/>
  <c r="Z14" i="11"/>
  <c r="Y14" i="11"/>
  <c r="X14" i="11"/>
  <c r="AB14" i="11"/>
  <c r="P14" i="11"/>
  <c r="N14" i="11"/>
  <c r="M14" i="11"/>
  <c r="L14" i="11"/>
  <c r="K14" i="11"/>
  <c r="O14" i="11"/>
  <c r="AC13" i="11"/>
  <c r="AB13" i="11"/>
  <c r="AA13" i="11"/>
  <c r="Z13" i="11"/>
  <c r="Y13" i="11"/>
  <c r="X13" i="11"/>
  <c r="P13" i="11"/>
  <c r="N13" i="11"/>
  <c r="M13" i="11"/>
  <c r="L13" i="11"/>
  <c r="K13" i="11"/>
  <c r="AC12" i="11"/>
  <c r="AA12" i="11"/>
  <c r="Z12" i="11"/>
  <c r="Y12" i="11"/>
  <c r="X12" i="11"/>
  <c r="AB12" i="11"/>
  <c r="P12" i="11"/>
  <c r="N12" i="11"/>
  <c r="M12" i="11"/>
  <c r="L12" i="11"/>
  <c r="K12" i="11"/>
  <c r="P11" i="11"/>
  <c r="O11" i="11"/>
  <c r="N11" i="11"/>
  <c r="M11" i="11"/>
  <c r="L11" i="11"/>
  <c r="K11" i="11"/>
  <c r="AC10" i="11"/>
  <c r="AB10" i="11"/>
  <c r="AA10" i="11"/>
  <c r="Z10" i="11"/>
  <c r="Y10" i="11"/>
  <c r="X10" i="11"/>
  <c r="P10" i="11"/>
  <c r="N10" i="11"/>
  <c r="M10" i="11"/>
  <c r="L10" i="11"/>
  <c r="K10" i="11"/>
  <c r="P9" i="11"/>
  <c r="N9" i="11"/>
  <c r="M9" i="11"/>
  <c r="L9" i="11"/>
  <c r="K9" i="11"/>
  <c r="O9" i="11"/>
  <c r="P8" i="11"/>
  <c r="O8" i="11"/>
  <c r="N8" i="11"/>
  <c r="M8" i="11"/>
  <c r="L8" i="11"/>
  <c r="K8" i="11"/>
  <c r="AC7" i="11"/>
  <c r="AA7" i="11"/>
  <c r="Z7" i="11"/>
  <c r="Y7" i="11"/>
  <c r="X7" i="11"/>
  <c r="AB7" i="11"/>
  <c r="N7" i="11"/>
  <c r="M7" i="11"/>
  <c r="L7" i="11"/>
  <c r="K7" i="11"/>
  <c r="AC6" i="11"/>
  <c r="AB6" i="11"/>
  <c r="AA6" i="11"/>
  <c r="Z6" i="11"/>
  <c r="Y6" i="11"/>
  <c r="X6" i="11"/>
  <c r="P6" i="11"/>
  <c r="O6" i="11"/>
  <c r="N6" i="11"/>
  <c r="M6" i="11"/>
  <c r="L6" i="11"/>
  <c r="K6" i="11"/>
  <c r="D8" i="3"/>
  <c r="D5" i="3"/>
  <c r="F8" i="3"/>
  <c r="F5" i="3"/>
  <c r="O4" i="4"/>
  <c r="P4" i="4" s="1"/>
  <c r="N5" i="4"/>
  <c r="O5" i="4" s="1"/>
  <c r="N6" i="4"/>
  <c r="O6" i="4" s="1"/>
  <c r="S6" i="4" s="1"/>
  <c r="N7" i="4"/>
  <c r="O7" i="4" s="1"/>
  <c r="S7" i="4" s="1"/>
  <c r="N8" i="4"/>
  <c r="O8" i="4" s="1"/>
  <c r="N9" i="4"/>
  <c r="O9" i="4" s="1"/>
  <c r="N10" i="4"/>
  <c r="O10" i="4" s="1"/>
  <c r="S10" i="4" s="1"/>
  <c r="N11" i="4"/>
  <c r="O11" i="4" s="1"/>
  <c r="N12" i="4"/>
  <c r="O12" i="4" s="1"/>
  <c r="P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H26" i="4"/>
  <c r="N26" i="4"/>
  <c r="O26" i="4"/>
  <c r="P26" i="4" s="1"/>
  <c r="N27" i="4"/>
  <c r="O27" i="4" s="1"/>
  <c r="N28" i="4"/>
  <c r="O28" i="4" s="1"/>
  <c r="H29" i="4"/>
  <c r="N29" i="4"/>
  <c r="O29" i="4" s="1"/>
  <c r="S29" i="4" s="1"/>
  <c r="N30" i="4"/>
  <c r="O30" i="4" s="1"/>
  <c r="N31" i="4"/>
  <c r="O31" i="4" s="1"/>
  <c r="J32" i="4"/>
  <c r="N32" i="4"/>
  <c r="N33" i="4"/>
  <c r="O33" i="4" s="1"/>
  <c r="N34" i="4"/>
  <c r="O34" i="4" s="1"/>
  <c r="N35" i="4"/>
  <c r="O35" i="4" s="1"/>
  <c r="N36" i="4"/>
  <c r="O36" i="4" s="1"/>
  <c r="N37" i="4"/>
  <c r="O37" i="4" s="1"/>
  <c r="D4" i="3"/>
  <c r="O32" i="4" l="1"/>
  <c r="G7" i="7"/>
  <c r="H7" i="7" s="1"/>
  <c r="G6" i="7"/>
  <c r="H6" i="7" s="1"/>
  <c r="G4" i="7"/>
  <c r="G5" i="7"/>
  <c r="H5" i="7" s="1"/>
  <c r="S11" i="4"/>
  <c r="P11" i="4"/>
  <c r="S5" i="4"/>
  <c r="P5" i="4"/>
  <c r="S8" i="4"/>
  <c r="P8" i="4"/>
  <c r="R26" i="4"/>
  <c r="U26" i="4"/>
  <c r="S26" i="4"/>
  <c r="P7" i="4"/>
  <c r="O10" i="11"/>
  <c r="O13" i="11"/>
  <c r="O22" i="11"/>
  <c r="O7" i="11"/>
  <c r="O12" i="11"/>
  <c r="O19" i="11"/>
  <c r="O26" i="11"/>
  <c r="G8" i="3"/>
  <c r="H8" i="3" s="1"/>
  <c r="G5" i="3"/>
  <c r="H5" i="3" s="1"/>
  <c r="P28" i="4"/>
  <c r="S28" i="4"/>
  <c r="S30" i="4"/>
  <c r="P30" i="4"/>
  <c r="U30" i="4" s="1"/>
  <c r="S9" i="4"/>
  <c r="P9" i="4"/>
  <c r="S31" i="4"/>
  <c r="P31" i="4"/>
  <c r="R31" i="4" s="1"/>
  <c r="S27" i="4"/>
  <c r="P27" i="4"/>
  <c r="P29" i="4"/>
  <c r="U29" i="4" s="1"/>
  <c r="P10" i="4"/>
  <c r="P6" i="4"/>
  <c r="P34" i="4"/>
  <c r="S34" i="4"/>
  <c r="P36" i="4"/>
  <c r="S36" i="4"/>
  <c r="P37" i="4"/>
  <c r="S37" i="4"/>
  <c r="P35" i="4"/>
  <c r="S35" i="4"/>
  <c r="P24" i="4"/>
  <c r="S24" i="4"/>
  <c r="P20" i="4"/>
  <c r="S20" i="4"/>
  <c r="P16" i="4"/>
  <c r="S16" i="4"/>
  <c r="S12" i="4"/>
  <c r="P25" i="4"/>
  <c r="S25" i="4"/>
  <c r="S23" i="4"/>
  <c r="P23" i="4"/>
  <c r="P19" i="4"/>
  <c r="S19" i="4"/>
  <c r="P15" i="4"/>
  <c r="S15" i="4"/>
  <c r="P22" i="4"/>
  <c r="S22" i="4"/>
  <c r="P18" i="4"/>
  <c r="S18" i="4"/>
  <c r="P14" i="4"/>
  <c r="R14" i="4" s="1"/>
  <c r="S14" i="4"/>
  <c r="S4" i="4"/>
  <c r="P33" i="4"/>
  <c r="S33" i="4"/>
  <c r="P32" i="4"/>
  <c r="S32" i="4"/>
  <c r="R29" i="4"/>
  <c r="P21" i="4"/>
  <c r="S21" i="4"/>
  <c r="P17" i="4"/>
  <c r="S17" i="4"/>
  <c r="P13" i="4"/>
  <c r="S13" i="4"/>
  <c r="P39" i="4" l="1"/>
  <c r="D4" i="7" s="1"/>
  <c r="G15" i="7"/>
  <c r="H4" i="7"/>
  <c r="G19" i="7"/>
  <c r="G20" i="7" s="1"/>
  <c r="G14" i="7"/>
  <c r="R30" i="4"/>
  <c r="U31" i="4"/>
  <c r="U28" i="4"/>
  <c r="R24" i="4"/>
  <c r="U24" i="4"/>
  <c r="U36" i="4"/>
  <c r="R36" i="4"/>
  <c r="R17" i="4"/>
  <c r="U17" i="4"/>
  <c r="U32" i="4"/>
  <c r="R32" i="4"/>
  <c r="S39" i="4"/>
  <c r="R18" i="4"/>
  <c r="U18" i="4"/>
  <c r="R15" i="4"/>
  <c r="U15" i="4"/>
  <c r="R16" i="4"/>
  <c r="U16" i="4"/>
  <c r="R37" i="4"/>
  <c r="U37" i="4"/>
  <c r="U14" i="4"/>
  <c r="R22" i="4"/>
  <c r="U22" i="4"/>
  <c r="R19" i="4"/>
  <c r="U19" i="4"/>
  <c r="U25" i="4"/>
  <c r="R25" i="4"/>
  <c r="R12" i="4"/>
  <c r="U12" i="4"/>
  <c r="R20" i="4"/>
  <c r="U20" i="4"/>
  <c r="U35" i="4"/>
  <c r="R35" i="4"/>
  <c r="R13" i="4"/>
  <c r="U13" i="4"/>
  <c r="R21" i="4"/>
  <c r="U21" i="4"/>
  <c r="R33" i="4"/>
  <c r="U33" i="4"/>
  <c r="R23" i="4"/>
  <c r="U23" i="4"/>
  <c r="U34" i="4"/>
  <c r="R34" i="4"/>
  <c r="D6" i="7" l="1"/>
  <c r="R27" i="4"/>
  <c r="R28" i="4"/>
  <c r="U27" i="4"/>
  <c r="U39" i="4" s="1"/>
  <c r="C7" i="7" s="1"/>
  <c r="R39" i="4" l="1"/>
  <c r="F4" i="3"/>
  <c r="G3" i="3"/>
  <c r="AB31" i="1"/>
  <c r="AB30" i="1"/>
  <c r="AB9" i="1"/>
  <c r="AB8" i="1"/>
  <c r="E5" i="7" l="1"/>
  <c r="I5" i="7" s="1"/>
  <c r="E4" i="7"/>
  <c r="I4" i="7" s="1"/>
  <c r="H3" i="3"/>
  <c r="F7" i="3"/>
  <c r="G4" i="3"/>
  <c r="D7" i="3"/>
  <c r="F4" i="7" l="1"/>
  <c r="J4" i="7"/>
  <c r="G7" i="3"/>
  <c r="H7" i="3" s="1"/>
  <c r="H4" i="3"/>
  <c r="D3" i="3" l="1"/>
  <c r="Z30" i="1" l="1"/>
  <c r="AA30" i="1"/>
  <c r="Z31" i="1"/>
  <c r="AA31" i="1"/>
  <c r="Z8" i="1"/>
  <c r="AA8" i="1"/>
  <c r="Z9" i="1"/>
  <c r="AA9" i="1"/>
  <c r="N30" i="1" l="1"/>
  <c r="O30" i="1"/>
  <c r="P30" i="1"/>
  <c r="Q30" i="1"/>
  <c r="R30" i="1"/>
  <c r="S30" i="1"/>
  <c r="T30" i="1"/>
  <c r="U30" i="1"/>
  <c r="V30" i="1"/>
  <c r="W30" i="1"/>
  <c r="X30" i="1"/>
  <c r="Y30" i="1"/>
  <c r="N31" i="1"/>
  <c r="O31" i="1"/>
  <c r="P31" i="1"/>
  <c r="Q31" i="1"/>
  <c r="R31" i="1"/>
  <c r="S31" i="1"/>
  <c r="T31" i="1"/>
  <c r="U31" i="1"/>
  <c r="V31" i="1"/>
  <c r="W31" i="1"/>
  <c r="X31" i="1"/>
  <c r="Y31" i="1"/>
  <c r="M31" i="1"/>
  <c r="M30" i="1"/>
  <c r="M32" i="1" l="1"/>
  <c r="AD20" i="1" s="1"/>
  <c r="AE20" i="1" s="1"/>
  <c r="M33" i="1"/>
  <c r="AD22" i="1" s="1"/>
  <c r="AC22" i="1"/>
  <c r="AC20" i="1"/>
  <c r="AE22" i="1" l="1"/>
  <c r="M10" i="1"/>
  <c r="M11" i="1"/>
  <c r="I16" i="1" l="1"/>
  <c r="I15" i="1"/>
  <c r="I14" i="1"/>
  <c r="I12" i="1"/>
  <c r="I11" i="1"/>
  <c r="I10" i="1"/>
  <c r="A8" i="1"/>
  <c r="A10" i="1" s="1"/>
  <c r="G6" i="3"/>
  <c r="E7" i="7" l="1"/>
  <c r="I7" i="7" s="1"/>
  <c r="E6" i="7"/>
  <c r="H6" i="3"/>
  <c r="A14" i="1"/>
  <c r="A17" i="1"/>
  <c r="F6" i="7" l="1"/>
  <c r="I6" i="7"/>
  <c r="J6" i="7" s="1"/>
  <c r="F8" i="1"/>
  <c r="F6" i="1"/>
  <c r="F7" i="1"/>
  <c r="N8" i="1" l="1"/>
  <c r="N12" i="1" s="1"/>
  <c r="N19" i="1" s="1"/>
  <c r="O8" i="1"/>
  <c r="O12" i="1" s="1"/>
  <c r="O19" i="1" s="1"/>
  <c r="P8" i="1"/>
  <c r="P12" i="1" s="1"/>
  <c r="P19" i="1" s="1"/>
  <c r="Q8" i="1"/>
  <c r="Q12" i="1" s="1"/>
  <c r="R8" i="1"/>
  <c r="R12" i="1" s="1"/>
  <c r="S8" i="1"/>
  <c r="S12" i="1" s="1"/>
  <c r="T8" i="1"/>
  <c r="U8" i="1"/>
  <c r="U12" i="1" s="1"/>
  <c r="V8" i="1"/>
  <c r="V12" i="1" s="1"/>
  <c r="W8" i="1"/>
  <c r="X8" i="1"/>
  <c r="X12" i="1" s="1"/>
  <c r="Y8" i="1"/>
  <c r="Y12" i="1" s="1"/>
  <c r="N9" i="1"/>
  <c r="N14" i="1" s="1"/>
  <c r="N21" i="1" s="1"/>
  <c r="O9" i="1"/>
  <c r="O14" i="1" s="1"/>
  <c r="O21" i="1" s="1"/>
  <c r="P9" i="1"/>
  <c r="P14" i="1" s="1"/>
  <c r="P21" i="1" s="1"/>
  <c r="Q9" i="1"/>
  <c r="Q14" i="1" s="1"/>
  <c r="R9" i="1"/>
  <c r="R14" i="1" s="1"/>
  <c r="S9" i="1"/>
  <c r="S14" i="1" s="1"/>
  <c r="T9" i="1"/>
  <c r="T14" i="1" s="1"/>
  <c r="U9" i="1"/>
  <c r="U14" i="1" s="1"/>
  <c r="V9" i="1"/>
  <c r="V14" i="1" s="1"/>
  <c r="W9" i="1"/>
  <c r="W14" i="1" s="1"/>
  <c r="X9" i="1"/>
  <c r="X14" i="1" s="1"/>
  <c r="Y9" i="1"/>
  <c r="Y14" i="1" s="1"/>
  <c r="M9" i="1"/>
  <c r="M14" i="1" s="1"/>
  <c r="M21" i="1" s="1"/>
  <c r="M8" i="1"/>
  <c r="M12" i="1" s="1"/>
  <c r="M19" i="1" s="1"/>
  <c r="T12" i="1" l="1"/>
  <c r="AC21" i="1"/>
  <c r="AE21" i="1" s="1"/>
  <c r="AE19" i="1" l="1"/>
  <c r="AD21" i="1"/>
  <c r="AD19" i="1" l="1"/>
</calcChain>
</file>

<file path=xl/sharedStrings.xml><?xml version="1.0" encoding="utf-8"?>
<sst xmlns="http://schemas.openxmlformats.org/spreadsheetml/2006/main" count="612" uniqueCount="286">
  <si>
    <t>Water content/Water filled porosity</t>
  </si>
  <si>
    <t>Δc (g/m3)</t>
  </si>
  <si>
    <t>Lysimeter WP</t>
  </si>
  <si>
    <t>Oct 2018 &amp;Dec 2018&amp;May 2019 Assumed Emission</t>
  </si>
  <si>
    <t>Date</t>
  </si>
  <si>
    <t>Lysimeter BC</t>
  </si>
  <si>
    <t>Collection Date</t>
  </si>
  <si>
    <t>24/Aug-28/Sept(35 days)</t>
  </si>
  <si>
    <t>28/Sept-12/Oct(14 days)</t>
  </si>
  <si>
    <t>12/Oct-29/Oct(16 days)</t>
  </si>
  <si>
    <t>29/Oct-12/Nov(14 days)</t>
  </si>
  <si>
    <t>12/Nov-26/Nov(14 days)</t>
  </si>
  <si>
    <t>26/Nov-7/Dec(12 days)</t>
  </si>
  <si>
    <t>7/Dec-4/Jan(28 days)</t>
  </si>
  <si>
    <t>4/Jan-1/Feb(28 days)</t>
  </si>
  <si>
    <t>1/Feb-15/Feb(14 days)</t>
  </si>
  <si>
    <t>15/Feb-1/Mar(15 days)</t>
  </si>
  <si>
    <t>1/Mar-15/Mar(14 days)</t>
  </si>
  <si>
    <t>15/Mar-1/Apr(16 days)</t>
  </si>
  <si>
    <t>1/Apr-12/Apr(10 days)</t>
  </si>
  <si>
    <t>12/Apr-26/Apr(14 days)</t>
  </si>
  <si>
    <t>26/Apr-10/May(14 days)</t>
  </si>
  <si>
    <t>10/May-23/May(14 days)</t>
  </si>
  <si>
    <t>23/May-31/May(7 days)</t>
  </si>
  <si>
    <t>31/May-10/June(10 days)</t>
  </si>
  <si>
    <t>10/June-21/June(10 days)</t>
  </si>
  <si>
    <t>21/June-5/July(14 days)</t>
  </si>
  <si>
    <t>5/July-23/July(17 days)</t>
  </si>
  <si>
    <t>23/July-2/Aug(9 days)</t>
  </si>
  <si>
    <t>2/Aug-16/Aug(14 days)</t>
  </si>
  <si>
    <t>16/Aug-29/Aug(13 days)</t>
  </si>
  <si>
    <t>29/Aug-13/Sept(15 days)</t>
  </si>
  <si>
    <t>13/Sept-30/Sept(17 days)</t>
  </si>
  <si>
    <t>30/Sept-11/Oct(10 days)</t>
  </si>
  <si>
    <t>11/Oct-25/Oct(14 days)</t>
  </si>
  <si>
    <t>Leaching  C Loss(Kg)</t>
  </si>
  <si>
    <t>C in Grass (Kg)</t>
  </si>
  <si>
    <t>Sum/C (Kg)</t>
  </si>
  <si>
    <t>Diffusion coefficient in free air</t>
  </si>
  <si>
    <t>Moles in 1 m3 of gas @ 25C and 1 stm</t>
  </si>
  <si>
    <t>Actual concentration</t>
  </si>
  <si>
    <t>1% Standard Volume Injected Area(ul)</t>
  </si>
  <si>
    <t>Area</t>
  </si>
  <si>
    <t>g CO2-C/m3</t>
  </si>
  <si>
    <t>n=pV/(RT)</t>
  </si>
  <si>
    <t>moles/m3</t>
  </si>
  <si>
    <t>1atm*1m3/(8.2*10-5m3 atm/mol*K</t>
  </si>
  <si>
    <t>Moles of CO2 in 1% Standard</t>
  </si>
  <si>
    <t>Aera GC-MS</t>
  </si>
  <si>
    <t>Concentration CO2-C(g/m3)</t>
  </si>
  <si>
    <t>moles CO2/m3</t>
  </si>
  <si>
    <t>Biochar</t>
  </si>
  <si>
    <t>Amount of CO2 in 1% Standard</t>
  </si>
  <si>
    <t>g CO2/m3</t>
  </si>
  <si>
    <t>Amount of CO2-C in 1% Standard</t>
  </si>
  <si>
    <t>Background Air</t>
  </si>
  <si>
    <t>Depth(m)</t>
  </si>
  <si>
    <t>Example</t>
  </si>
  <si>
    <t>Lysimeter WP/average</t>
  </si>
  <si>
    <t>Sum/C (g)</t>
  </si>
  <si>
    <t>Standard Deviation(SD)</t>
  </si>
  <si>
    <t>Carbon added as biochar or wheat straw (Kg)</t>
  </si>
  <si>
    <t>Lysimeter Wheat Straw Pellets (Average)</t>
  </si>
  <si>
    <t>Calculation for Net Loss of Carbon from leachate</t>
  </si>
  <si>
    <t>25/oct-8/Nov(14days)</t>
  </si>
  <si>
    <t>8/Nov-15/Nov( 7 days)</t>
  </si>
  <si>
    <t>15/Nov-21/Nov(6 days)</t>
  </si>
  <si>
    <t>21/Nov-11/Dec(20 days)</t>
  </si>
  <si>
    <t>11/Dec-20/Jan(39 days)</t>
  </si>
  <si>
    <t>Mean</t>
  </si>
  <si>
    <t>20/Jan-3/Feb(14 days)</t>
  </si>
  <si>
    <t>BC</t>
  </si>
  <si>
    <t>WP</t>
  </si>
  <si>
    <t>The carbon content in Grass (Kg)</t>
  </si>
  <si>
    <t>SD</t>
  </si>
  <si>
    <t>Calculation Period</t>
  </si>
  <si>
    <t>null</t>
  </si>
  <si>
    <t>The number of days between two collection dates</t>
  </si>
  <si>
    <t xml:space="preserve"> TC(g) loss from lysimeter WP(SD)</t>
  </si>
  <si>
    <t>Lysimeter WP_Average (g)</t>
  </si>
  <si>
    <t>The sum of standard deviation</t>
  </si>
  <si>
    <t xml:space="preserve">Mean </t>
  </si>
  <si>
    <t>2018 Aug</t>
  </si>
  <si>
    <t>2018 Sep</t>
  </si>
  <si>
    <t>\</t>
  </si>
  <si>
    <t>2019 Feb</t>
  </si>
  <si>
    <t>2019 Jun</t>
  </si>
  <si>
    <t>2019 Aug</t>
  </si>
  <si>
    <t>2019 Nov</t>
  </si>
  <si>
    <t>2020 Jan</t>
  </si>
  <si>
    <t>2020 Aug</t>
  </si>
  <si>
    <t>2021 Feb</t>
  </si>
  <si>
    <t>2021 Jun</t>
  </si>
  <si>
    <t>Lysimeter Biochar  (Average)</t>
  </si>
  <si>
    <t>The percentage of grass C to the C added as amendments</t>
  </si>
  <si>
    <t>The percentage of leaching C to the C added as amendments</t>
  </si>
  <si>
    <t>The soil C increase over the Helix site</t>
  </si>
  <si>
    <t xml:space="preserve">Area of Helix Site </t>
  </si>
  <si>
    <t>ha</t>
  </si>
  <si>
    <t>tonne (Mean)</t>
  </si>
  <si>
    <t>Total Carbon Change (Kg)  in Lysimeters</t>
  </si>
  <si>
    <t>Total Loss (g）</t>
  </si>
  <si>
    <t>Lysimeter</t>
  </si>
  <si>
    <t>Total Carbon Stock (Kg /m2)</t>
  </si>
  <si>
    <t>Organic Carbon Stock (Kg/m2)</t>
  </si>
  <si>
    <t>Inorganic Carbon Stock (Kg /m2)</t>
  </si>
  <si>
    <t>Lysimeter wheat straw pellets</t>
  </si>
  <si>
    <t>Item</t>
  </si>
  <si>
    <r>
      <t>Result</t>
    </r>
    <r>
      <rPr>
        <sz val="10"/>
        <rFont val="Symbol"/>
        <family val="1"/>
        <charset val="2"/>
      </rPr>
      <t xml:space="preserve"> d</t>
    </r>
    <r>
      <rPr>
        <sz val="10"/>
        <rFont val="Arial"/>
        <family val="2"/>
      </rPr>
      <t>-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V-PDB</t>
    </r>
  </si>
  <si>
    <t>Fraction</t>
  </si>
  <si>
    <t>Pure Biochar</t>
  </si>
  <si>
    <t>Wheat Straw Pellets</t>
  </si>
  <si>
    <t>30 cm soil</t>
  </si>
  <si>
    <t>50 cm soil</t>
  </si>
  <si>
    <t>top soil_BC</t>
  </si>
  <si>
    <t>top soil_WP</t>
  </si>
  <si>
    <t>Total Average</t>
  </si>
  <si>
    <t>50 cm soil_BC</t>
  </si>
  <si>
    <t>50 cm soil_WP</t>
  </si>
  <si>
    <t>30 cm soil_BC</t>
  </si>
  <si>
    <t>30 cm soil_WP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</si>
  <si>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</si>
  <si>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</si>
  <si>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</si>
  <si>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</si>
  <si>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</si>
  <si>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</si>
  <si>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</si>
  <si>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</si>
  <si>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</si>
  <si>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</si>
  <si>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</si>
  <si>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</si>
  <si>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Soil increased C (Kg/m2)</t>
  </si>
  <si>
    <t>The estimated C loss from CO2(Kg)</t>
  </si>
  <si>
    <t>The estimated percentage of C-CO2 to the C added as amendments</t>
  </si>
  <si>
    <t>Oxygen18_Carbonate</t>
  </si>
  <si>
    <t>C13_Carbonate</t>
  </si>
  <si>
    <t>Manually Installed tubes</t>
  </si>
  <si>
    <t>Mean (g/m2/h)</t>
  </si>
  <si>
    <t>Portable CO2 gas analyzer</t>
  </si>
  <si>
    <t>15/03/2019</t>
  </si>
  <si>
    <t>26/03/2019</t>
  </si>
  <si>
    <t>25/04/2019</t>
  </si>
  <si>
    <t>04/06/2019</t>
  </si>
  <si>
    <t>SD^2</t>
  </si>
  <si>
    <t>Sampling date</t>
  </si>
  <si>
    <t>Monthly CO2-C flux measured from the manually installed tubes and EGM-4 gas analyser</t>
  </si>
  <si>
    <t>Sampling Date</t>
  </si>
  <si>
    <t>Subsurface soil (15-40 cm)</t>
  </si>
  <si>
    <t>Topsoil (0-15 cm)</t>
  </si>
  <si>
    <t>Lysimeer BC-TOC  Standard Deviation</t>
  </si>
  <si>
    <t>Lysimeter WP-TOC Standard Deviation</t>
  </si>
  <si>
    <r>
      <rPr>
        <b/>
        <i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Rainfall (mm) during each collection date (Downloaded from World Weather Online)</t>
    </r>
  </si>
  <si>
    <t>The total carbon loss from leachate</t>
  </si>
  <si>
    <t>Value</t>
  </si>
  <si>
    <t>Soil bulk density (kg/m3)</t>
  </si>
  <si>
    <t>Surface area of lysimeter (m2)</t>
  </si>
  <si>
    <t>Applied biochar weight (kg)</t>
  </si>
  <si>
    <t>Carbon from biochar added into the lysimeter BC (g)</t>
  </si>
  <si>
    <t>Carbon from wheat straw pellets added into the lysimeter BC (g)</t>
  </si>
  <si>
    <t>Applied wheat straw pellets weight (kg)</t>
  </si>
  <si>
    <t>2. Equation:  Total carbon loss (g) from leachate (Column R&amp;V)=  Concentration of total carbon (mg/L) (Column F&amp;I) * The real collected leachate volume (Column Q)</t>
  </si>
  <si>
    <t>1. Equation: The total volume of leachate collected(Column Q) =The amount of Estimated assembled Rainfall (Column L)* Surface Area of the lysimeter - The amount of assumed evapotranspiration (Column P)*Surface Area of the lysimeter</t>
  </si>
  <si>
    <t>C13_Organic matter</t>
  </si>
  <si>
    <t>Soil ID</t>
  </si>
  <si>
    <t>75cm</t>
  </si>
  <si>
    <t>50cm</t>
  </si>
  <si>
    <t>35cm</t>
  </si>
  <si>
    <t>10cm</t>
  </si>
  <si>
    <t>50 cm</t>
  </si>
  <si>
    <t xml:space="preserve">35 cm </t>
  </si>
  <si>
    <t>10 cm</t>
  </si>
  <si>
    <t>75 cm</t>
  </si>
  <si>
    <t>The Summary of CO2 (g) emitted from top soil monthly</t>
  </si>
  <si>
    <t>Calculation steps for CO2-C loss</t>
  </si>
  <si>
    <t>Soil increased C (9 m2)</t>
  </si>
  <si>
    <t>Total Average(data shown in Figure 5 of manuscript)</t>
  </si>
  <si>
    <t>Isotope data of soil samples from 2 lysimeters</t>
  </si>
  <si>
    <t>The number of days during each collection period</t>
  </si>
  <si>
    <t>Calculation steps about applying how many biochar and wheat straw pellets to two lysimeters, respectively</t>
  </si>
  <si>
    <t>Paired Differences</t>
  </si>
  <si>
    <t>t</t>
  </si>
  <si>
    <t>Sig. (2-tailed)</t>
  </si>
  <si>
    <t>Std. Deviation</t>
  </si>
  <si>
    <t>Std. Error Mean</t>
  </si>
  <si>
    <t>95% Confidence Interval of the Difference</t>
  </si>
  <si>
    <t>Lower</t>
  </si>
  <si>
    <t>Upper</t>
  </si>
  <si>
    <t>Pair 1</t>
  </si>
  <si>
    <t>Pair 2</t>
  </si>
  <si>
    <t>Pair 3</t>
  </si>
  <si>
    <t>Pair 4</t>
  </si>
  <si>
    <t>Pair 5</t>
  </si>
  <si>
    <t>Pair 6</t>
  </si>
  <si>
    <t>Pair 7</t>
  </si>
  <si>
    <t>Pair 8</t>
  </si>
  <si>
    <t>Pair 9</t>
  </si>
  <si>
    <t>BC: lysimeter with wheat straw biochar; WP: lysimeter with wheat straw pellets.</t>
  </si>
  <si>
    <t>Number</t>
  </si>
  <si>
    <t>water content_BC_80cm</t>
  </si>
  <si>
    <t>water  content_BC_80cm - water content_WP_80cm</t>
  </si>
  <si>
    <t>water content_WP_80cm</t>
  </si>
  <si>
    <t>water content _BC_50cm - water content_WP_50cm</t>
  </si>
  <si>
    <t>water content_BC_50cm</t>
  </si>
  <si>
    <t>water content_WP_50cm</t>
  </si>
  <si>
    <t>Temperature_BC_80CM - Temperature_WP_80cm</t>
  </si>
  <si>
    <t>water content_bc_10cm</t>
  </si>
  <si>
    <t>Temperature_BC_50cm - Temperature_WP_50cm</t>
  </si>
  <si>
    <t>water content_WP_10cm</t>
  </si>
  <si>
    <t>Temperature_BC_10cm - Temperature_WP_10cm</t>
  </si>
  <si>
    <t>Temperature_BC_80CM</t>
  </si>
  <si>
    <t>EC_WP_80cm - EC_BC_80cm</t>
  </si>
  <si>
    <t>Temperature_WP_80cm</t>
  </si>
  <si>
    <t>EC_BC_50cm - EC_WP_50cm</t>
  </si>
  <si>
    <t>Temperature_BC_50cm</t>
  </si>
  <si>
    <t>EC_BC_10cm - EC_WP_10cm</t>
  </si>
  <si>
    <t>Temperature_WP_50cm</t>
  </si>
  <si>
    <t>Temperature_BC_10cm</t>
  </si>
  <si>
    <t>Temperature_WP_10cm</t>
  </si>
  <si>
    <t>EC_BC_80cm</t>
  </si>
  <si>
    <t>EC_WP_80cm</t>
  </si>
  <si>
    <t>EC_BC_50cm</t>
  </si>
  <si>
    <t>EC_WP_50cm</t>
  </si>
  <si>
    <t>EC_BC_10cm</t>
  </si>
  <si>
    <t>EC_WP_10cm</t>
  </si>
  <si>
    <t>2018 Jun (before amendment)</t>
  </si>
  <si>
    <t>TC (%)</t>
  </si>
  <si>
    <t>TOC (%)</t>
  </si>
  <si>
    <t>TIC (%)</t>
  </si>
  <si>
    <t>Density (Kg/m3)</t>
  </si>
  <si>
    <t>30 cm soil (no amendments)</t>
  </si>
  <si>
    <t>50 cm soil (no amendments)</t>
  </si>
  <si>
    <r>
      <t>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-C concentrations from four soil depths in the lysimeters (g/m3)</t>
    </r>
  </si>
  <si>
    <t>Deff (m2/h)</t>
  </si>
  <si>
    <t>ΔC (g/m3) [concentration CO2-C in 10 cm- concentration CO2-C in air]</t>
  </si>
  <si>
    <t>Lysimeter BC/average</t>
  </si>
  <si>
    <t>Lysimeter BC_Average (g)</t>
  </si>
  <si>
    <t>Flux (g/m2_h)</t>
  </si>
  <si>
    <t>Lysimeter WP Average TOC (mg/L)</t>
  </si>
  <si>
    <t>Lysimeter  BC Average TOC (mg/L)</t>
  </si>
  <si>
    <t>Lysimeter BC Average TC (mg/L)</t>
  </si>
  <si>
    <t>Lysimeter BC  TC (mg/L) (SD)</t>
  </si>
  <si>
    <t>Lysimeter WP Average TC (mg/L)</t>
  </si>
  <si>
    <t>Lysimeter WP TC (mg/L) (SD)</t>
  </si>
  <si>
    <t>Estimated Evaporation (mm/day)</t>
  </si>
  <si>
    <t>Leachate volume (L) per lysimeters during each collection date</t>
  </si>
  <si>
    <t xml:space="preserve"> TC (g)  loss from lysimeter BC</t>
  </si>
  <si>
    <t xml:space="preserve"> TC (g) loss from lysimeter BC (SD)</t>
  </si>
  <si>
    <t xml:space="preserve"> TC (g)  loss from lysimeter WP</t>
  </si>
  <si>
    <t>Clipping Date</t>
  </si>
  <si>
    <t>Water Content (%)</t>
  </si>
  <si>
    <t>Dry mass (%)</t>
  </si>
  <si>
    <t>Dry biomass of grass (Kg)</t>
  </si>
  <si>
    <t>Aboveground carbon density (Kg/m2)</t>
  </si>
  <si>
    <t>Soil depth applying the soil amendments (m)</t>
  </si>
  <si>
    <t>Soil volume with soil amendments (m3)</t>
  </si>
  <si>
    <t>Soil weight with soil amendments (kg)</t>
  </si>
  <si>
    <t>The rate of applying biochar to soils (weight fraction)</t>
  </si>
  <si>
    <t>The carbon content of biochar (g/kg)</t>
  </si>
  <si>
    <t>The carbon content of wheat straw pellets (g/kg)</t>
  </si>
  <si>
    <t>Inorganic Carbon Stock (Kg/m2)</t>
  </si>
  <si>
    <t>4 sports grounds (ha)</t>
  </si>
  <si>
    <t>Central campus (ha)</t>
  </si>
  <si>
    <t>The soil C increase over the green space of the city campus of Newcastle University</t>
  </si>
  <si>
    <t>tonnes (Mean)</t>
  </si>
  <si>
    <t>Lysimeter wheat straw biochar</t>
  </si>
  <si>
    <t>Paired Samples Signifiance Test (EC:  electrical conductivity ）</t>
  </si>
  <si>
    <t>water content_BC_10cm - water content_WP_10cm</t>
  </si>
  <si>
    <t>Paired Samples Statistics (EC:  electrical conductivity）</t>
  </si>
  <si>
    <t>/</t>
  </si>
  <si>
    <t>The reference for this equation:"Estimating surface CO2 flux based on soil concentration profile"(Salmawati, Kyuro Sasaki, Yuichi Sugai, 2017)[http://doi.org/0.9734/BJECC/2017/38328. ]</t>
  </si>
  <si>
    <t>This data is calculated by the equation:Da=Dao(Ts/To)^1.75*(Po/P). Dao is the diffusion coefficient in the free air. Ts is the soil temperature; To is the standard air temperature. Po is assumed to equal P. Unit is m2/h.</t>
  </si>
  <si>
    <t>http://doi.org/0.9734/BJECC/2017/38328.</t>
  </si>
  <si>
    <t>Soil Water Loss from evapotranspiration (mm)</t>
  </si>
  <si>
    <t>The wet weight of fresh grass (Kg)</t>
  </si>
  <si>
    <t>June 2018 - 2021, based on 18 months observation from Aug 2018-Feb 2020, multiplied by 2</t>
  </si>
  <si>
    <t>June 2018 - 2021, based on cutting the grass on June 2019&amp;Aug 2020&amp;June 2021</t>
  </si>
  <si>
    <t>June 2018-June 2021, based on soil core taken in these months</t>
  </si>
  <si>
    <t>Area of Newcastle University greenspace</t>
  </si>
  <si>
    <t>The ratio of increased soil carbon to the carbon emissions of Newcastle University in the academic year 2019/20</t>
  </si>
  <si>
    <t>Application rate of wheat straw pellets in the lysimeter WP (kg/m2)</t>
  </si>
  <si>
    <t>Ratio</t>
  </si>
  <si>
    <t>℃</t>
  </si>
  <si>
    <t>mS/m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</si>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</sst>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00000"/>
    <numFmt numFmtId="165" formatCode="0.0"/>
    <numFmt numFmtId="166" formatCode="0.00000000000000%"/>
    <numFmt numFmtId="167" formatCode="0.00000000"/>
    <numFmt numFmtId="168" formatCode="0.000"/>
  </numFmts>
  <fonts count="48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Arial Unicode MS"/>
      <family val="2"/>
      <charset val="134"/>
    </font>
    <font>
      <b/>
      <sz val="20"/>
      <color theme="1"/>
      <name val="Arial Unicode MS"/>
      <family val="2"/>
      <charset val="134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vertAlign val="subscript"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26" fillId="0" borderId="0"/>
    <xf numFmtId="0" fontId="1" fillId="0" borderId="0"/>
  </cellStyleXfs>
  <cellXfs count="198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2" xfId="0" applyFill="1" applyBorder="1" applyAlignment="1"/>
    <xf numFmtId="0" fontId="0" fillId="0" borderId="6" xfId="0" applyFill="1" applyBorder="1" applyAlignment="1">
      <alignment wrapText="1"/>
    </xf>
    <xf numFmtId="0" fontId="0" fillId="0" borderId="9" xfId="0" applyFill="1" applyBorder="1"/>
    <xf numFmtId="0" fontId="4" fillId="0" borderId="9" xfId="0" applyFont="1" applyFill="1" applyBorder="1"/>
    <xf numFmtId="0" fontId="0" fillId="0" borderId="0" xfId="0" applyFill="1" applyAlignment="1">
      <alignment horizontal="center"/>
    </xf>
    <xf numFmtId="0" fontId="3" fillId="0" borderId="7" xfId="0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14" fontId="0" fillId="0" borderId="0" xfId="0" applyNumberFormat="1"/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/>
    <xf numFmtId="14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top"/>
    </xf>
    <xf numFmtId="2" fontId="6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Font="1" applyBorder="1" applyAlignment="1">
      <alignment horizontal="left"/>
    </xf>
    <xf numFmtId="2" fontId="0" fillId="3" borderId="0" xfId="0" applyNumberForma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0" fontId="12" fillId="0" borderId="0" xfId="1" applyFont="1" applyBorder="1" applyAlignment="1">
      <alignment horizontal="left"/>
    </xf>
    <xf numFmtId="2" fontId="0" fillId="0" borderId="0" xfId="2" applyNumberFormat="1" applyFont="1" applyAlignment="1">
      <alignment horizontal="left"/>
    </xf>
    <xf numFmtId="2" fontId="12" fillId="0" borderId="0" xfId="1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left"/>
    </xf>
    <xf numFmtId="9" fontId="0" fillId="0" borderId="0" xfId="2" applyFont="1"/>
    <xf numFmtId="2" fontId="13" fillId="0" borderId="0" xfId="0" applyNumberFormat="1" applyFont="1" applyAlignment="1">
      <alignment horizontal="left"/>
    </xf>
    <xf numFmtId="0" fontId="2" fillId="0" borderId="0" xfId="0" applyFont="1"/>
    <xf numFmtId="2" fontId="0" fillId="0" borderId="0" xfId="0" applyNumberFormat="1" applyFill="1"/>
    <xf numFmtId="2" fontId="0" fillId="0" borderId="0" xfId="2" applyNumberFormat="1" applyFont="1"/>
    <xf numFmtId="14" fontId="0" fillId="0" borderId="0" xfId="0" applyNumberFormat="1" applyFill="1"/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6" fillId="0" borderId="0" xfId="0" applyFont="1"/>
    <xf numFmtId="2" fontId="15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6" fillId="0" borderId="0" xfId="0" applyNumberFormat="1" applyFon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4" fontId="19" fillId="0" borderId="0" xfId="3" applyNumberFormat="1" applyAlignment="1">
      <alignment horizontal="left"/>
    </xf>
    <xf numFmtId="0" fontId="19" fillId="0" borderId="0" xfId="3" applyAlignment="1">
      <alignment horizontal="left"/>
    </xf>
    <xf numFmtId="2" fontId="24" fillId="0" borderId="0" xfId="4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2" fontId="19" fillId="0" borderId="0" xfId="3" applyNumberFormat="1" applyAlignment="1">
      <alignment horizontal="left"/>
    </xf>
    <xf numFmtId="2" fontId="15" fillId="0" borderId="0" xfId="0" applyNumberFormat="1" applyFont="1" applyAlignment="1">
      <alignment horizontal="left"/>
    </xf>
    <xf numFmtId="2" fontId="19" fillId="0" borderId="0" xfId="3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4" fontId="27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2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left"/>
    </xf>
    <xf numFmtId="2" fontId="29" fillId="0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/>
    <xf numFmtId="2" fontId="28" fillId="2" borderId="0" xfId="0" applyNumberFormat="1" applyFont="1" applyFill="1" applyBorder="1" applyAlignment="1"/>
    <xf numFmtId="0" fontId="1" fillId="0" borderId="0" xfId="6"/>
    <xf numFmtId="2" fontId="1" fillId="0" borderId="0" xfId="6" applyNumberFormat="1"/>
    <xf numFmtId="0" fontId="30" fillId="0" borderId="0" xfId="6" applyFont="1"/>
    <xf numFmtId="0" fontId="31" fillId="0" borderId="0" xfId="6" applyFont="1"/>
    <xf numFmtId="2" fontId="32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4" fontId="33" fillId="0" borderId="0" xfId="0" applyNumberFormat="1" applyFont="1" applyAlignment="1">
      <alignment horizontal="left"/>
    </xf>
    <xf numFmtId="2" fontId="19" fillId="0" borderId="0" xfId="5" applyNumberFormat="1" applyFont="1" applyAlignment="1">
      <alignment horizontal="left"/>
    </xf>
    <xf numFmtId="0" fontId="19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165" fontId="36" fillId="0" borderId="0" xfId="0" applyNumberFormat="1" applyFont="1" applyBorder="1" applyAlignment="1">
      <alignment horizontal="left" vertical="top" wrapText="1"/>
    </xf>
    <xf numFmtId="2" fontId="36" fillId="0" borderId="0" xfId="0" applyNumberFormat="1" applyFont="1" applyBorder="1" applyAlignment="1">
      <alignment horizontal="left" vertical="top"/>
    </xf>
    <xf numFmtId="9" fontId="36" fillId="0" borderId="0" xfId="2" applyFont="1" applyFill="1" applyBorder="1" applyAlignment="1">
      <alignment horizontal="left" vertical="top"/>
    </xf>
    <xf numFmtId="2" fontId="36" fillId="0" borderId="0" xfId="0" applyNumberFormat="1" applyFont="1" applyFill="1" applyBorder="1" applyAlignment="1">
      <alignment horizontal="left" vertical="top"/>
    </xf>
    <xf numFmtId="165" fontId="36" fillId="0" borderId="0" xfId="0" applyNumberFormat="1" applyFont="1" applyFill="1" applyBorder="1" applyAlignment="1">
      <alignment horizontal="left" vertical="top"/>
    </xf>
    <xf numFmtId="165" fontId="36" fillId="0" borderId="0" xfId="0" applyNumberFormat="1" applyFont="1" applyBorder="1" applyAlignment="1">
      <alignment horizontal="left" vertical="top"/>
    </xf>
    <xf numFmtId="9" fontId="36" fillId="0" borderId="0" xfId="2" applyFont="1" applyBorder="1" applyAlignment="1">
      <alignment horizontal="left" vertical="top"/>
    </xf>
    <xf numFmtId="166" fontId="36" fillId="0" borderId="0" xfId="0" applyNumberFormat="1" applyFont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164" fontId="36" fillId="0" borderId="0" xfId="0" applyNumberFormat="1" applyFont="1" applyFill="1" applyBorder="1" applyAlignment="1">
      <alignment horizontal="left" vertical="top"/>
    </xf>
    <xf numFmtId="0" fontId="15" fillId="0" borderId="0" xfId="0" applyFont="1" applyFill="1"/>
    <xf numFmtId="2" fontId="15" fillId="0" borderId="0" xfId="0" applyNumberFormat="1" applyFont="1" applyFill="1"/>
    <xf numFmtId="2" fontId="16" fillId="0" borderId="7" xfId="0" applyNumberFormat="1" applyFont="1" applyFill="1" applyBorder="1"/>
    <xf numFmtId="2" fontId="0" fillId="0" borderId="7" xfId="0" applyNumberFormat="1" applyFill="1" applyBorder="1"/>
    <xf numFmtId="167" fontId="0" fillId="0" borderId="0" xfId="0" applyNumberFormat="1" applyFill="1"/>
    <xf numFmtId="0" fontId="2" fillId="0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15" fillId="0" borderId="0" xfId="0" applyNumberFormat="1" applyFont="1" applyFill="1" applyAlignment="1">
      <alignment wrapText="1"/>
    </xf>
    <xf numFmtId="9" fontId="0" fillId="0" borderId="0" xfId="2" applyFont="1" applyAlignment="1">
      <alignment wrapText="1"/>
    </xf>
    <xf numFmtId="0" fontId="43" fillId="0" borderId="0" xfId="6" applyFont="1"/>
    <xf numFmtId="2" fontId="44" fillId="0" borderId="0" xfId="6" applyNumberFormat="1" applyFont="1"/>
    <xf numFmtId="0" fontId="44" fillId="0" borderId="0" xfId="6" applyFont="1"/>
    <xf numFmtId="0" fontId="45" fillId="0" borderId="0" xfId="6" applyFont="1"/>
    <xf numFmtId="2" fontId="45" fillId="0" borderId="0" xfId="6" applyNumberFormat="1" applyFont="1"/>
    <xf numFmtId="0" fontId="46" fillId="0" borderId="0" xfId="6" applyFont="1"/>
    <xf numFmtId="2" fontId="46" fillId="0" borderId="0" xfId="6" applyNumberFormat="1" applyFont="1"/>
    <xf numFmtId="1" fontId="36" fillId="0" borderId="0" xfId="0" applyNumberFormat="1" applyFont="1" applyFill="1" applyBorder="1" applyAlignment="1">
      <alignment horizontal="left" vertical="top"/>
    </xf>
    <xf numFmtId="2" fontId="36" fillId="0" borderId="0" xfId="0" applyNumberFormat="1" applyFont="1"/>
    <xf numFmtId="0" fontId="46" fillId="0" borderId="0" xfId="0" applyFont="1"/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 wrapText="1"/>
    </xf>
    <xf numFmtId="2" fontId="0" fillId="0" borderId="1" xfId="0" applyNumberFormat="1" applyFill="1" applyBorder="1"/>
    <xf numFmtId="168" fontId="0" fillId="0" borderId="0" xfId="0" applyNumberFormat="1" applyFill="1"/>
    <xf numFmtId="0" fontId="0" fillId="0" borderId="2" xfId="0" applyFill="1" applyBorder="1"/>
    <xf numFmtId="0" fontId="0" fillId="0" borderId="6" xfId="0" applyFill="1" applyBorder="1"/>
    <xf numFmtId="0" fontId="11" fillId="0" borderId="1" xfId="0" applyFont="1" applyFill="1" applyBorder="1"/>
    <xf numFmtId="0" fontId="40" fillId="0" borderId="2" xfId="0" applyFont="1" applyFill="1" applyBorder="1" applyAlignment="1">
      <alignment wrapText="1"/>
    </xf>
    <xf numFmtId="0" fontId="0" fillId="0" borderId="5" xfId="0" applyFill="1" applyBorder="1"/>
    <xf numFmtId="0" fontId="41" fillId="0" borderId="7" xfId="0" applyFont="1" applyFill="1" applyBorder="1"/>
    <xf numFmtId="0" fontId="41" fillId="0" borderId="8" xfId="0" applyFont="1" applyFill="1" applyBorder="1" applyAlignment="1">
      <alignment wrapText="1"/>
    </xf>
    <xf numFmtId="0" fontId="41" fillId="0" borderId="8" xfId="0" applyFont="1" applyFill="1" applyBorder="1" applyAlignment="1"/>
    <xf numFmtId="2" fontId="0" fillId="0" borderId="0" xfId="0" applyNumberFormat="1" applyFill="1" applyBorder="1"/>
    <xf numFmtId="2" fontId="0" fillId="0" borderId="8" xfId="0" applyNumberFormat="1" applyFill="1" applyBorder="1"/>
    <xf numFmtId="0" fontId="3" fillId="0" borderId="9" xfId="0" applyFont="1" applyFill="1" applyBorder="1"/>
    <xf numFmtId="2" fontId="0" fillId="0" borderId="10" xfId="0" applyNumberFormat="1" applyFill="1" applyBorder="1"/>
    <xf numFmtId="2" fontId="4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0" fontId="42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46" fillId="0" borderId="0" xfId="6" applyFont="1" applyFill="1"/>
    <xf numFmtId="0" fontId="1" fillId="0" borderId="0" xfId="6" applyFill="1"/>
    <xf numFmtId="2" fontId="36" fillId="0" borderId="0" xfId="0" applyNumberFormat="1" applyFont="1" applyFill="1"/>
    <xf numFmtId="2" fontId="47" fillId="0" borderId="0" xfId="0" applyNumberFormat="1" applyFont="1" applyFill="1"/>
    <xf numFmtId="0" fontId="0" fillId="0" borderId="0" xfId="0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7">
    <cellStyle name="Hyperlink" xfId="1" builtinId="8"/>
    <cellStyle name="Normal" xfId="0" builtinId="0"/>
    <cellStyle name="Normal 2" xfId="4" xr:uid="{0D45F5F0-5942-469C-9E34-A026334C43E9}"/>
    <cellStyle name="Normal 2 2" xfId="5" xr:uid="{F76BE1F5-2FB4-4F02-8DC5-A5684189B4A8}"/>
    <cellStyle name="Normal 3" xfId="3" xr:uid="{D8A57CEF-9F4E-4AC0-B07D-F5FF156AA0E3}"/>
    <cellStyle name="Normal 4" xfId="6" xr:uid="{E2A75C49-848C-4778-8516-AF0B3F7AE0E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6-Leaching C'!$P$4:$P$31</c:f>
              <c:numCache>
                <c:formatCode>0.00</c:formatCode>
                <c:ptCount val="28"/>
                <c:pt idx="0">
                  <c:v>2.9014199999999994</c:v>
                </c:pt>
                <c:pt idx="1">
                  <c:v>4.2971040000000009</c:v>
                </c:pt>
                <c:pt idx="2">
                  <c:v>1.0382273999999998</c:v>
                </c:pt>
                <c:pt idx="3">
                  <c:v>1.9604231999999995</c:v>
                </c:pt>
                <c:pt idx="4">
                  <c:v>7.4721023999999998</c:v>
                </c:pt>
                <c:pt idx="5">
                  <c:v>3.4844481000000003</c:v>
                </c:pt>
                <c:pt idx="6">
                  <c:v>7.7735916000000023</c:v>
                </c:pt>
                <c:pt idx="7">
                  <c:v>25.981055999999995</c:v>
                </c:pt>
                <c:pt idx="8">
                  <c:v>11.602322999999998</c:v>
                </c:pt>
                <c:pt idx="9">
                  <c:v>3.8727944999999999</c:v>
                </c:pt>
                <c:pt idx="10">
                  <c:v>35.279154000000005</c:v>
                </c:pt>
                <c:pt idx="11">
                  <c:v>18.649102499999998</c:v>
                </c:pt>
                <c:pt idx="12">
                  <c:v>20.806703999999996</c:v>
                </c:pt>
                <c:pt idx="13">
                  <c:v>0.61765199999999976</c:v>
                </c:pt>
                <c:pt idx="14">
                  <c:v>27.272537999999997</c:v>
                </c:pt>
                <c:pt idx="15">
                  <c:v>0.56195999999999979</c:v>
                </c:pt>
                <c:pt idx="16">
                  <c:v>17.182809000000002</c:v>
                </c:pt>
                <c:pt idx="17">
                  <c:v>51.0953625</c:v>
                </c:pt>
                <c:pt idx="18">
                  <c:v>36.260254800000006</c:v>
                </c:pt>
                <c:pt idx="19">
                  <c:v>11.4917319</c:v>
                </c:pt>
                <c:pt idx="20">
                  <c:v>32.946836400000002</c:v>
                </c:pt>
                <c:pt idx="21">
                  <c:v>28.87833195</c:v>
                </c:pt>
                <c:pt idx="22">
                  <c:v>93.872089799999998</c:v>
                </c:pt>
                <c:pt idx="23">
                  <c:v>23.059125900000005</c:v>
                </c:pt>
                <c:pt idx="24">
                  <c:v>16.091931150000001</c:v>
                </c:pt>
                <c:pt idx="25">
                  <c:v>58.347134999999994</c:v>
                </c:pt>
                <c:pt idx="26">
                  <c:v>42.102925200000008</c:v>
                </c:pt>
                <c:pt idx="27">
                  <c:v>24.680168100000003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Lysimeter Biochar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28"/>
                    <c:pt idx="0">
                      <c:v>24/Aug-28/Sept(35 days)</c:v>
                    </c:pt>
                    <c:pt idx="1">
                      <c:v>28/Sept-12/Oct(14 days)</c:v>
                    </c:pt>
                    <c:pt idx="2">
                      <c:v>12/Oct-29/Oct(16 days)</c:v>
                    </c:pt>
                    <c:pt idx="3">
                      <c:v>29/Oct-12/Nov(14 days)</c:v>
                    </c:pt>
                    <c:pt idx="4">
                      <c:v>12/Nov-26/Nov(14 days)</c:v>
                    </c:pt>
                    <c:pt idx="5">
                      <c:v>26/Nov-7/Dec(12 days)</c:v>
                    </c:pt>
                    <c:pt idx="6">
                      <c:v>7/Dec-4/Jan(28 days)</c:v>
                    </c:pt>
                    <c:pt idx="7">
                      <c:v>4/Jan-1/Feb(28 days)</c:v>
                    </c:pt>
                    <c:pt idx="8">
                      <c:v>1/Feb-15/Feb(14 days)</c:v>
                    </c:pt>
                    <c:pt idx="9">
                      <c:v>15/Feb-1/Mar(15 days)</c:v>
                    </c:pt>
                    <c:pt idx="10">
                      <c:v>1/Mar-15/Mar(14 days)</c:v>
                    </c:pt>
                    <c:pt idx="11">
                      <c:v>15/Mar-1/Apr(16 days)</c:v>
                    </c:pt>
                    <c:pt idx="12">
                      <c:v>1/Apr-12/Apr(10 days)</c:v>
                    </c:pt>
                    <c:pt idx="13">
                      <c:v>12/Apr-26/Apr(14 days)</c:v>
                    </c:pt>
                    <c:pt idx="14">
                      <c:v>26/Apr-10/May(14 days)</c:v>
                    </c:pt>
                    <c:pt idx="15">
                      <c:v>10/May-23/May(14 days)</c:v>
                    </c:pt>
                    <c:pt idx="16">
                      <c:v>23/May-31/May(7 days)</c:v>
                    </c:pt>
                    <c:pt idx="17">
                      <c:v>31/May-10/June(10 days)</c:v>
                    </c:pt>
                    <c:pt idx="18">
                      <c:v>10/June-21/June(10 days)</c:v>
                    </c:pt>
                    <c:pt idx="19">
                      <c:v>21/June-5/July(14 days)</c:v>
                    </c:pt>
                    <c:pt idx="20">
                      <c:v>5/July-23/July(17 days)</c:v>
                    </c:pt>
                    <c:pt idx="21">
                      <c:v>23/July-2/Aug(9 days)</c:v>
                    </c:pt>
                    <c:pt idx="22">
                      <c:v>2/Aug-16/Aug(14 days)</c:v>
                    </c:pt>
                    <c:pt idx="23">
                      <c:v>16/Aug-29/Aug(13 days)</c:v>
                    </c:pt>
                    <c:pt idx="24">
                      <c:v>29/Aug-13/Sept(15 days)</c:v>
                    </c:pt>
                    <c:pt idx="25">
                      <c:v>13/Sept-30/Sept(17 days)</c:v>
                    </c:pt>
                    <c:pt idx="26">
                      <c:v>30/Sept-11/Oct(10 days)</c:v>
                    </c:pt>
                    <c:pt idx="27">
                      <c:v>11/Oct-25/Oct(14 days)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3F78-46F0-94CB-7F671B4FCF7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6-Leaching C'!$S$4:$S$31</c:f>
              <c:numCache>
                <c:formatCode>0.00</c:formatCode>
                <c:ptCount val="28"/>
                <c:pt idx="0">
                  <c:v>2.3420339999999995</c:v>
                </c:pt>
                <c:pt idx="1">
                  <c:v>3.5767440000000006</c:v>
                </c:pt>
                <c:pt idx="2">
                  <c:v>0.9663632999999997</c:v>
                </c:pt>
                <c:pt idx="3">
                  <c:v>1.8207359999999997</c:v>
                </c:pt>
                <c:pt idx="4">
                  <c:v>6.8600447999999998</c:v>
                </c:pt>
                <c:pt idx="5">
                  <c:v>3.2538681</c:v>
                </c:pt>
                <c:pt idx="6">
                  <c:v>6.7245849000000018</c:v>
                </c:pt>
                <c:pt idx="7">
                  <c:v>22.864751999999996</c:v>
                </c:pt>
                <c:pt idx="8">
                  <c:v>10.425285000000001</c:v>
                </c:pt>
                <c:pt idx="9">
                  <c:v>3.7618965000000002</c:v>
                </c:pt>
                <c:pt idx="10">
                  <c:v>35.718857999999997</c:v>
                </c:pt>
                <c:pt idx="11">
                  <c:v>18.571454999999997</c:v>
                </c:pt>
                <c:pt idx="12">
                  <c:v>21.951540000000001</c:v>
                </c:pt>
                <c:pt idx="13">
                  <c:v>0.60435899999999976</c:v>
                </c:pt>
                <c:pt idx="14">
                  <c:v>29.264759999999999</c:v>
                </c:pt>
                <c:pt idx="15">
                  <c:v>0.60259499999999977</c:v>
                </c:pt>
                <c:pt idx="16">
                  <c:v>19.021176000000001</c:v>
                </c:pt>
                <c:pt idx="17">
                  <c:v>55.200190500000005</c:v>
                </c:pt>
                <c:pt idx="18">
                  <c:v>37.536552899999997</c:v>
                </c:pt>
                <c:pt idx="19">
                  <c:v>10.915106399999999</c:v>
                </c:pt>
                <c:pt idx="20">
                  <c:v>35.386237800000004</c:v>
                </c:pt>
                <c:pt idx="21">
                  <c:v>30.896488349999995</c:v>
                </c:pt>
                <c:pt idx="22">
                  <c:v>84.098228625000004</c:v>
                </c:pt>
                <c:pt idx="23">
                  <c:v>27.294413400000003</c:v>
                </c:pt>
                <c:pt idx="24">
                  <c:v>14.47622415</c:v>
                </c:pt>
                <c:pt idx="25">
                  <c:v>54.562882500000001</c:v>
                </c:pt>
                <c:pt idx="26">
                  <c:v>39.2391279</c:v>
                </c:pt>
                <c:pt idx="27">
                  <c:v>23.445246150000006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Lysimeter Wheat Straw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28"/>
                    <c:pt idx="0">
                      <c:v>24/Aug-28/Sept(35 days)</c:v>
                    </c:pt>
                    <c:pt idx="1">
                      <c:v>28/Sept-12/Oct(14 days)</c:v>
                    </c:pt>
                    <c:pt idx="2">
                      <c:v>12/Oct-29/Oct(16 days)</c:v>
                    </c:pt>
                    <c:pt idx="3">
                      <c:v>29/Oct-12/Nov(14 days)</c:v>
                    </c:pt>
                    <c:pt idx="4">
                      <c:v>12/Nov-26/Nov(14 days)</c:v>
                    </c:pt>
                    <c:pt idx="5">
                      <c:v>26/Nov-7/Dec(12 days)</c:v>
                    </c:pt>
                    <c:pt idx="6">
                      <c:v>7/Dec-4/Jan(28 days)</c:v>
                    </c:pt>
                    <c:pt idx="7">
                      <c:v>4/Jan-1/Feb(28 days)</c:v>
                    </c:pt>
                    <c:pt idx="8">
                      <c:v>1/Feb-15/Feb(14 days)</c:v>
                    </c:pt>
                    <c:pt idx="9">
                      <c:v>15/Feb-1/Mar(15 days)</c:v>
                    </c:pt>
                    <c:pt idx="10">
                      <c:v>1/Mar-15/Mar(14 days)</c:v>
                    </c:pt>
                    <c:pt idx="11">
                      <c:v>15/Mar-1/Apr(16 days)</c:v>
                    </c:pt>
                    <c:pt idx="12">
                      <c:v>1/Apr-12/Apr(10 days)</c:v>
                    </c:pt>
                    <c:pt idx="13">
                      <c:v>12/Apr-26/Apr(14 days)</c:v>
                    </c:pt>
                    <c:pt idx="14">
                      <c:v>26/Apr-10/May(14 days)</c:v>
                    </c:pt>
                    <c:pt idx="15">
                      <c:v>10/May-23/May(14 days)</c:v>
                    </c:pt>
                    <c:pt idx="16">
                      <c:v>23/May-31/May(7 days)</c:v>
                    </c:pt>
                    <c:pt idx="17">
                      <c:v>31/May-10/June(10 days)</c:v>
                    </c:pt>
                    <c:pt idx="18">
                      <c:v>10/June-21/June(10 days)</c:v>
                    </c:pt>
                    <c:pt idx="19">
                      <c:v>21/June-5/July(14 days)</c:v>
                    </c:pt>
                    <c:pt idx="20">
                      <c:v>5/July-23/July(17 days)</c:v>
                    </c:pt>
                    <c:pt idx="21">
                      <c:v>23/July-2/Aug(9 days)</c:v>
                    </c:pt>
                    <c:pt idx="22">
                      <c:v>2/Aug-16/Aug(14 days)</c:v>
                    </c:pt>
                    <c:pt idx="23">
                      <c:v>16/Aug-29/Aug(13 days)</c:v>
                    </c:pt>
                    <c:pt idx="24">
                      <c:v>29/Aug-13/Sept(15 days)</c:v>
                    </c:pt>
                    <c:pt idx="25">
                      <c:v>13/Sept-30/Sept(17 days)</c:v>
                    </c:pt>
                    <c:pt idx="26">
                      <c:v>30/Sept-11/Oct(10 days)</c:v>
                    </c:pt>
                    <c:pt idx="27">
                      <c:v>11/Oct-25/Oct(14 days)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1-3F78-46F0-94CB-7F671B4FC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96178208"/>
        <c:axId val="696175256"/>
      </c:barChart>
      <c:catAx>
        <c:axId val="69617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Total Carbon loss (g) from leachate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175256"/>
        <c:crosses val="autoZero"/>
        <c:auto val="1"/>
        <c:lblAlgn val="ctr"/>
        <c:lblOffset val="100"/>
        <c:noMultiLvlLbl val="0"/>
      </c:catAx>
      <c:valAx>
        <c:axId val="69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17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463248</xdr:colOff>
      <xdr:row>62</xdr:row>
      <xdr:rowOff>134259</xdr:rowOff>
    </xdr:from>
    <xdr:to>
      <xdr:col>20</xdr:col>
      <xdr:colOff>463248</xdr:colOff>
      <xdr:row>83</xdr:row>
      <xdr:rowOff>134259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7CE1-5FD7-4649-87BF-28C1B9EB5844}">
  <dimension ref="B2:AH37"/>
  <sheetViews>
    <sheetView topLeftCell="B1" zoomScale="80" zoomScaleNormal="80" workbookViewId="0">
      <pane xSplit="2" topLeftCell="D1" activePane="topRight" state="frozen"/>
      <selection activeCell="B1" sqref="B1"/>
      <selection pane="topRight" activeCell="P30" sqref="K30:P30"/>
    </sheetView>
  </sheetViews>
  <sheetFormatPr defaultRowHeight="14.4"/>
  <cols>
    <col min="2" max="2" width="10.33203125" customWidth="1"/>
    <col min="3" max="3" width="28.6640625" customWidth="1"/>
    <col min="10" max="10" width="10.5546875" style="1" customWidth="1"/>
    <col min="11" max="11" width="13.33203125" style="1" customWidth="1"/>
    <col min="12" max="12" width="7.44140625" style="1" customWidth="1"/>
    <col min="13" max="13" width="12.44140625" style="136" customWidth="1"/>
    <col min="14" max="14" width="9.33203125" style="1" customWidth="1"/>
    <col min="15" max="15" width="12.33203125" style="136" customWidth="1"/>
    <col min="16" max="16" width="9.33203125" style="1" customWidth="1"/>
    <col min="17" max="17" width="9.33203125" style="7" customWidth="1"/>
    <col min="18" max="20" width="9.33203125" style="1" customWidth="1"/>
    <col min="21" max="22" width="8.88671875" style="1"/>
    <col min="23" max="23" width="8.6640625" style="1" customWidth="1"/>
    <col min="24" max="24" width="12.88671875" style="136" customWidth="1"/>
    <col min="25" max="25" width="8.88671875" style="1"/>
    <col min="26" max="26" width="12.44140625" style="1" customWidth="1"/>
    <col min="27" max="27" width="8.88671875" style="1"/>
    <col min="28" max="28" width="12" style="1" customWidth="1"/>
    <col min="29" max="29" width="8.88671875" style="1"/>
    <col min="31" max="34" width="9.33203125" style="50"/>
  </cols>
  <sheetData>
    <row r="2" spans="2:34">
      <c r="AD2" s="49"/>
    </row>
    <row r="3" spans="2:34" ht="21">
      <c r="C3" s="16"/>
      <c r="D3" s="58" t="s">
        <v>150</v>
      </c>
      <c r="E3" s="2"/>
      <c r="F3" s="2"/>
      <c r="G3" s="2"/>
      <c r="H3" s="2"/>
      <c r="I3" s="2"/>
      <c r="J3" s="53"/>
      <c r="K3" s="53"/>
      <c r="L3" s="53"/>
      <c r="M3" s="137"/>
      <c r="N3" s="53"/>
      <c r="O3" s="137"/>
      <c r="P3" s="53"/>
      <c r="Q3" s="138" t="s">
        <v>149</v>
      </c>
      <c r="T3" s="55"/>
      <c r="U3" s="55"/>
      <c r="V3" s="55"/>
      <c r="W3" s="55"/>
    </row>
    <row r="4" spans="2:34" s="142" customFormat="1" ht="40.950000000000003" customHeight="1">
      <c r="B4" s="142" t="s">
        <v>102</v>
      </c>
      <c r="C4" s="143" t="s">
        <v>148</v>
      </c>
      <c r="D4" s="144" t="s">
        <v>227</v>
      </c>
      <c r="F4" s="144" t="s">
        <v>228</v>
      </c>
      <c r="H4" s="142" t="s">
        <v>229</v>
      </c>
      <c r="J4" s="145" t="s">
        <v>230</v>
      </c>
      <c r="K4" s="145" t="s">
        <v>103</v>
      </c>
      <c r="L4" s="146"/>
      <c r="M4" s="147" t="s">
        <v>104</v>
      </c>
      <c r="N4" s="146"/>
      <c r="O4" s="147" t="s">
        <v>261</v>
      </c>
      <c r="P4" s="146"/>
      <c r="Q4" s="144" t="s">
        <v>227</v>
      </c>
      <c r="S4" s="144" t="s">
        <v>228</v>
      </c>
      <c r="U4" s="142" t="s">
        <v>229</v>
      </c>
      <c r="W4" s="145" t="s">
        <v>230</v>
      </c>
      <c r="X4" s="145" t="s">
        <v>103</v>
      </c>
      <c r="Y4" s="146"/>
      <c r="Z4" s="147" t="s">
        <v>104</v>
      </c>
      <c r="AA4" s="146"/>
      <c r="AB4" s="147" t="s">
        <v>105</v>
      </c>
      <c r="AC4" s="146"/>
      <c r="AE4" s="148"/>
      <c r="AF4" s="148"/>
      <c r="AG4" s="148"/>
      <c r="AH4" s="148"/>
    </row>
    <row r="5" spans="2:34">
      <c r="C5" s="16"/>
      <c r="D5" s="2" t="s">
        <v>69</v>
      </c>
      <c r="E5" s="2" t="s">
        <v>74</v>
      </c>
      <c r="F5" s="2" t="s">
        <v>69</v>
      </c>
      <c r="G5" s="2" t="s">
        <v>74</v>
      </c>
      <c r="H5" s="2" t="s">
        <v>69</v>
      </c>
      <c r="I5" s="2" t="s">
        <v>74</v>
      </c>
      <c r="J5" s="53" t="s">
        <v>69</v>
      </c>
      <c r="K5" s="53" t="s">
        <v>69</v>
      </c>
      <c r="L5" s="53" t="s">
        <v>74</v>
      </c>
      <c r="M5" s="137" t="s">
        <v>69</v>
      </c>
      <c r="N5" s="53" t="s">
        <v>74</v>
      </c>
      <c r="O5" s="137" t="s">
        <v>81</v>
      </c>
      <c r="P5" s="53" t="s">
        <v>74</v>
      </c>
      <c r="Q5" s="139" t="s">
        <v>69</v>
      </c>
      <c r="R5" s="53" t="s">
        <v>74</v>
      </c>
      <c r="S5" s="53" t="s">
        <v>69</v>
      </c>
      <c r="T5" s="53" t="s">
        <v>74</v>
      </c>
      <c r="U5" s="53" t="s">
        <v>69</v>
      </c>
      <c r="V5" s="53" t="s">
        <v>74</v>
      </c>
      <c r="W5" s="53" t="s">
        <v>69</v>
      </c>
      <c r="X5" s="137" t="s">
        <v>69</v>
      </c>
      <c r="Y5" s="53" t="s">
        <v>74</v>
      </c>
      <c r="Z5" s="53" t="s">
        <v>69</v>
      </c>
      <c r="AA5" s="53" t="s">
        <v>74</v>
      </c>
      <c r="AB5" s="53" t="s">
        <v>69</v>
      </c>
      <c r="AC5" s="53" t="s">
        <v>74</v>
      </c>
    </row>
    <row r="6" spans="2:34">
      <c r="B6" s="2" t="s">
        <v>71</v>
      </c>
      <c r="C6" s="16" t="s">
        <v>226</v>
      </c>
      <c r="D6" s="2">
        <v>6.3887749999999999</v>
      </c>
      <c r="E6" s="2">
        <v>0.95255866792199606</v>
      </c>
      <c r="F6" s="2">
        <v>2.9876999999999998</v>
      </c>
      <c r="G6" s="2">
        <v>0.22544603197513435</v>
      </c>
      <c r="H6" s="2">
        <v>3.4010750000000001</v>
      </c>
      <c r="I6" s="2">
        <v>1.1704143066310608</v>
      </c>
      <c r="J6" s="53">
        <v>1.02</v>
      </c>
      <c r="K6" s="53">
        <f>D6*J6*0.15*1000/100</f>
        <v>9.7748257499999998</v>
      </c>
      <c r="L6" s="53">
        <f>E6*J6*0.15*1000/100</f>
        <v>1.4574147619206539</v>
      </c>
      <c r="M6" s="137">
        <f>F6*J6*0.15*1000/100</f>
        <v>4.5711809999999993</v>
      </c>
      <c r="N6" s="53">
        <f>G6*J6*0.15*1000/100</f>
        <v>0.34493242892195553</v>
      </c>
      <c r="O6" s="137">
        <f>H6*J6*0.15*1000/100</f>
        <v>5.2036447499999996</v>
      </c>
      <c r="P6" s="53">
        <f>I6*J6*0.15*1000/100</f>
        <v>1.7907338891455229</v>
      </c>
      <c r="Q6" s="139">
        <v>5.833825</v>
      </c>
      <c r="R6" s="53">
        <v>1.0661804799532442</v>
      </c>
      <c r="S6" s="53">
        <v>2.8554249999999999</v>
      </c>
      <c r="T6" s="53">
        <v>0.28414244520427889</v>
      </c>
      <c r="U6" s="53">
        <v>2.9783999999999997</v>
      </c>
      <c r="V6" s="53">
        <v>1.3055991906655997</v>
      </c>
      <c r="W6" s="53">
        <v>1.02</v>
      </c>
      <c r="X6" s="137">
        <f>Q6*W6*0.15*1000/100</f>
        <v>8.9257522500000004</v>
      </c>
      <c r="Y6" s="53">
        <f>R6*W6*0.15*1000/100</f>
        <v>1.6312561343284637</v>
      </c>
      <c r="Z6" s="53">
        <f>S6*W6*0.15*1000/100</f>
        <v>4.3688002499999996</v>
      </c>
      <c r="AA6" s="53">
        <f>T6*W6*0.15*1000/100</f>
        <v>0.43473794116254671</v>
      </c>
      <c r="AB6" s="53">
        <f>U6*W6*0.15*1000/100</f>
        <v>4.556951999999999</v>
      </c>
      <c r="AC6" s="53">
        <f>V6*W6*0.15*1000/100</f>
        <v>1.9975667617183674</v>
      </c>
    </row>
    <row r="7" spans="2:34">
      <c r="B7" s="2" t="s">
        <v>71</v>
      </c>
      <c r="C7" s="16" t="s">
        <v>82</v>
      </c>
      <c r="D7" s="2">
        <v>8.0283333333333342</v>
      </c>
      <c r="E7" s="2">
        <v>3.2620224667119242</v>
      </c>
      <c r="F7" s="2">
        <v>6.4891666666666667</v>
      </c>
      <c r="G7" s="2">
        <v>3.4715987704994538</v>
      </c>
      <c r="H7" s="2">
        <v>1.5391666666666675</v>
      </c>
      <c r="I7" s="2">
        <v>0.21</v>
      </c>
      <c r="J7" s="53">
        <v>1.02</v>
      </c>
      <c r="K7" s="53">
        <f t="shared" ref="K7:K28" si="0">D7*J7*0.15*1000/100</f>
        <v>12.28335</v>
      </c>
      <c r="L7" s="53">
        <f t="shared" ref="L7:L28" si="1">E7*J7*0.15*1000/100</f>
        <v>4.9908943740692431</v>
      </c>
      <c r="M7" s="137">
        <f t="shared" ref="M7:M28" si="2">F7*J7*0.15*1000/100</f>
        <v>9.9284249999999989</v>
      </c>
      <c r="N7" s="53">
        <f t="shared" ref="N7:N28" si="3">G7*J7*0.15*1000/100</f>
        <v>5.3115461188641646</v>
      </c>
      <c r="O7" s="137">
        <f t="shared" ref="O7:O28" si="4">H7*J7*0.15*1000/100</f>
        <v>2.354925000000001</v>
      </c>
      <c r="P7" s="53">
        <v>8.5000000000000006E-2</v>
      </c>
      <c r="Q7" s="139">
        <v>3.18</v>
      </c>
      <c r="R7" s="53">
        <v>0.05</v>
      </c>
      <c r="S7" s="53">
        <v>0.69</v>
      </c>
      <c r="T7" s="53">
        <v>0.14000000000000001</v>
      </c>
      <c r="U7" s="53">
        <v>2.4900000000000002</v>
      </c>
      <c r="V7" s="53">
        <v>0.09</v>
      </c>
      <c r="W7" s="53">
        <v>1.02</v>
      </c>
      <c r="X7" s="137">
        <f t="shared" ref="X7:X28" si="5">Q7*W7*0.15*1000/100</f>
        <v>4.8654000000000002</v>
      </c>
      <c r="Y7" s="53">
        <f t="shared" ref="Y7:Y28" si="6">R7*W7*0.15*1000/100</f>
        <v>7.6499999999999999E-2</v>
      </c>
      <c r="Z7" s="53">
        <f t="shared" ref="Z7:Z28" si="7">S7*W7*0.15*1000/100</f>
        <v>1.0556999999999999</v>
      </c>
      <c r="AA7" s="53">
        <f t="shared" ref="AA7:AA28" si="8">T7*W7*0.15*1000/100</f>
        <v>0.21420000000000003</v>
      </c>
      <c r="AB7" s="53">
        <f t="shared" ref="AB7:AB28" si="9">U7*W7*0.15*1000/100</f>
        <v>3.8096999999999999</v>
      </c>
      <c r="AC7" s="53">
        <f t="shared" ref="AC7:AC28" si="10">V7*W7*0.15*1000/100</f>
        <v>0.13769999999999999</v>
      </c>
      <c r="AD7" s="51"/>
    </row>
    <row r="8" spans="2:34">
      <c r="B8" s="2" t="s">
        <v>71</v>
      </c>
      <c r="C8" s="16" t="s">
        <v>83</v>
      </c>
      <c r="D8" s="2">
        <v>8.5500000000000007</v>
      </c>
      <c r="E8" s="2">
        <v>1.9031666497358126</v>
      </c>
      <c r="F8" s="2">
        <v>7.0547750000000002</v>
      </c>
      <c r="G8" s="2">
        <v>1.7981344209578227</v>
      </c>
      <c r="H8" s="2">
        <v>1.4952250000000005</v>
      </c>
      <c r="I8" s="2">
        <v>0.35</v>
      </c>
      <c r="J8" s="53">
        <v>1.02</v>
      </c>
      <c r="K8" s="53">
        <f t="shared" si="0"/>
        <v>13.081499999999998</v>
      </c>
      <c r="L8" s="53">
        <f t="shared" si="1"/>
        <v>2.9118449740957932</v>
      </c>
      <c r="M8" s="137">
        <f t="shared" si="2"/>
        <v>10.793805750000001</v>
      </c>
      <c r="N8" s="53">
        <f t="shared" si="3"/>
        <v>2.7511456640654681</v>
      </c>
      <c r="O8" s="137">
        <f t="shared" si="4"/>
        <v>2.2876942500000004</v>
      </c>
      <c r="P8" s="53">
        <f t="shared" ref="P8:P26" si="11">I8*J8*0.15*1000/100</f>
        <v>0.53549999999999986</v>
      </c>
      <c r="Q8" s="139" t="s">
        <v>84</v>
      </c>
      <c r="R8" s="53" t="s">
        <v>84</v>
      </c>
      <c r="S8" s="53" t="s">
        <v>84</v>
      </c>
      <c r="T8" s="53" t="s">
        <v>84</v>
      </c>
      <c r="U8" s="53" t="s">
        <v>84</v>
      </c>
      <c r="V8" s="53" t="s">
        <v>84</v>
      </c>
      <c r="W8" s="53" t="s">
        <v>84</v>
      </c>
      <c r="X8" s="137" t="s">
        <v>84</v>
      </c>
      <c r="Y8" s="53" t="s">
        <v>84</v>
      </c>
      <c r="Z8" s="53" t="s">
        <v>84</v>
      </c>
      <c r="AA8" s="53" t="s">
        <v>84</v>
      </c>
      <c r="AB8" s="53" t="s">
        <v>84</v>
      </c>
      <c r="AC8" s="53" t="s">
        <v>84</v>
      </c>
      <c r="AD8" s="51"/>
    </row>
    <row r="9" spans="2:34">
      <c r="B9" s="2" t="s">
        <v>71</v>
      </c>
      <c r="C9" s="16" t="s">
        <v>85</v>
      </c>
      <c r="D9" s="2">
        <v>7.85</v>
      </c>
      <c r="E9" s="2">
        <v>0.06</v>
      </c>
      <c r="F9" s="2">
        <v>4.9332000000000003</v>
      </c>
      <c r="G9" s="2">
        <v>0.11</v>
      </c>
      <c r="H9" s="2">
        <v>2.9167999999999994</v>
      </c>
      <c r="I9" s="2">
        <v>7.0000000000000007E-2</v>
      </c>
      <c r="J9" s="53">
        <v>1.02</v>
      </c>
      <c r="K9" s="53">
        <f t="shared" si="0"/>
        <v>12.0105</v>
      </c>
      <c r="L9" s="53">
        <f t="shared" si="1"/>
        <v>9.1799999999999993E-2</v>
      </c>
      <c r="M9" s="137">
        <f t="shared" si="2"/>
        <v>7.5477960000000008</v>
      </c>
      <c r="N9" s="53">
        <f t="shared" si="3"/>
        <v>0.16830000000000001</v>
      </c>
      <c r="O9" s="137">
        <f t="shared" si="4"/>
        <v>4.4627039999999987</v>
      </c>
      <c r="P9" s="53">
        <f t="shared" si="11"/>
        <v>0.10710000000000001</v>
      </c>
      <c r="Q9" s="139" t="s">
        <v>84</v>
      </c>
      <c r="R9" s="53" t="s">
        <v>84</v>
      </c>
      <c r="S9" s="53" t="s">
        <v>84</v>
      </c>
      <c r="T9" s="53" t="s">
        <v>84</v>
      </c>
      <c r="U9" s="53" t="s">
        <v>84</v>
      </c>
      <c r="V9" s="53" t="s">
        <v>84</v>
      </c>
      <c r="W9" s="53" t="s">
        <v>84</v>
      </c>
      <c r="X9" s="137" t="s">
        <v>84</v>
      </c>
      <c r="Y9" s="53" t="s">
        <v>84</v>
      </c>
      <c r="Z9" s="53" t="s">
        <v>84</v>
      </c>
      <c r="AA9" s="53" t="s">
        <v>84</v>
      </c>
      <c r="AB9" s="53" t="s">
        <v>84</v>
      </c>
      <c r="AC9" s="53" t="s">
        <v>84</v>
      </c>
      <c r="AD9" s="51"/>
    </row>
    <row r="10" spans="2:34">
      <c r="B10" s="2" t="s">
        <v>71</v>
      </c>
      <c r="C10" s="16" t="s">
        <v>86</v>
      </c>
      <c r="D10" s="2">
        <v>9.3102666666666654</v>
      </c>
      <c r="E10" s="2">
        <v>0.56918347071338393</v>
      </c>
      <c r="F10" s="2">
        <v>5.7434666666666665</v>
      </c>
      <c r="G10" s="2">
        <v>1.6824692399367465</v>
      </c>
      <c r="H10" s="2">
        <v>3.5667999999999989</v>
      </c>
      <c r="I10" s="2">
        <v>1.18</v>
      </c>
      <c r="J10" s="53">
        <v>1.02</v>
      </c>
      <c r="K10" s="53">
        <f t="shared" si="0"/>
        <v>14.244707999999996</v>
      </c>
      <c r="L10" s="53">
        <f t="shared" si="1"/>
        <v>0.87085071019147731</v>
      </c>
      <c r="M10" s="137">
        <f t="shared" si="2"/>
        <v>8.7875039999999984</v>
      </c>
      <c r="N10" s="53">
        <f t="shared" si="3"/>
        <v>2.5741779371032218</v>
      </c>
      <c r="O10" s="137">
        <f t="shared" si="4"/>
        <v>5.4572039999999982</v>
      </c>
      <c r="P10" s="53">
        <f t="shared" si="11"/>
        <v>1.8053999999999999</v>
      </c>
      <c r="Q10" s="139">
        <v>6.6564333333333332</v>
      </c>
      <c r="R10" s="53">
        <v>0.17514606285421702</v>
      </c>
      <c r="S10" s="53">
        <v>3.2643333333333331</v>
      </c>
      <c r="T10" s="53">
        <v>0.50327342800244979</v>
      </c>
      <c r="U10" s="53">
        <v>3.3921000000000001</v>
      </c>
      <c r="V10" s="53">
        <v>0.37</v>
      </c>
      <c r="W10" s="53">
        <v>1.02</v>
      </c>
      <c r="X10" s="137">
        <f t="shared" si="5"/>
        <v>10.184343</v>
      </c>
      <c r="Y10" s="53">
        <f t="shared" si="6"/>
        <v>0.26797347616695205</v>
      </c>
      <c r="Z10" s="53">
        <f t="shared" si="7"/>
        <v>4.9944299999999995</v>
      </c>
      <c r="AA10" s="53">
        <f t="shared" si="8"/>
        <v>0.77000834484374803</v>
      </c>
      <c r="AB10" s="53">
        <f t="shared" si="9"/>
        <v>5.1899130000000007</v>
      </c>
      <c r="AC10" s="53">
        <f t="shared" si="10"/>
        <v>0.56610000000000005</v>
      </c>
      <c r="AD10" s="51"/>
    </row>
    <row r="11" spans="2:34">
      <c r="B11" s="2" t="s">
        <v>71</v>
      </c>
      <c r="C11" s="16" t="s">
        <v>87</v>
      </c>
      <c r="D11" s="2">
        <v>7.9092500000000001</v>
      </c>
      <c r="E11" s="2">
        <v>0.74851246927934778</v>
      </c>
      <c r="F11" s="2">
        <v>4.5436249999999996</v>
      </c>
      <c r="G11" s="2">
        <v>0.77217167942110243</v>
      </c>
      <c r="H11" s="2">
        <v>3.3656250000000005</v>
      </c>
      <c r="I11" s="2">
        <v>0.56999999999999995</v>
      </c>
      <c r="J11" s="53">
        <v>1.02</v>
      </c>
      <c r="K11" s="53">
        <f t="shared" si="0"/>
        <v>12.101152499999998</v>
      </c>
      <c r="L11" s="53">
        <f t="shared" si="1"/>
        <v>1.1452240779974021</v>
      </c>
      <c r="M11" s="137">
        <f t="shared" si="2"/>
        <v>6.9517462499999985</v>
      </c>
      <c r="N11" s="53">
        <f t="shared" si="3"/>
        <v>1.1814226695142866</v>
      </c>
      <c r="O11" s="137">
        <f t="shared" si="4"/>
        <v>5.1494062500000011</v>
      </c>
      <c r="P11" s="53">
        <f t="shared" si="11"/>
        <v>0.87209999999999976</v>
      </c>
      <c r="Q11" s="139" t="s">
        <v>84</v>
      </c>
      <c r="R11" s="53" t="s">
        <v>84</v>
      </c>
      <c r="S11" s="53" t="s">
        <v>84</v>
      </c>
      <c r="T11" s="53" t="s">
        <v>84</v>
      </c>
      <c r="U11" s="53" t="s">
        <v>84</v>
      </c>
      <c r="V11" s="53" t="s">
        <v>84</v>
      </c>
      <c r="W11" s="53" t="s">
        <v>84</v>
      </c>
      <c r="X11" s="137"/>
      <c r="Y11" s="53"/>
      <c r="Z11" s="53"/>
      <c r="AA11" s="53"/>
      <c r="AB11" s="53"/>
      <c r="AC11" s="53"/>
      <c r="AD11" s="51"/>
    </row>
    <row r="12" spans="2:34">
      <c r="B12" s="2" t="s">
        <v>71</v>
      </c>
      <c r="C12" s="16" t="s">
        <v>88</v>
      </c>
      <c r="D12" s="2">
        <v>7.4839500000000001</v>
      </c>
      <c r="E12" s="2">
        <v>0.90369371101792118</v>
      </c>
      <c r="F12" s="2">
        <v>4.3067250000000001</v>
      </c>
      <c r="G12" s="2">
        <v>1.0780099640077547</v>
      </c>
      <c r="H12" s="2">
        <v>3.177225</v>
      </c>
      <c r="I12" s="2">
        <v>0.3565901604082759</v>
      </c>
      <c r="J12" s="53">
        <v>1.02</v>
      </c>
      <c r="K12" s="53">
        <f t="shared" si="0"/>
        <v>11.4504435</v>
      </c>
      <c r="L12" s="53">
        <f t="shared" si="1"/>
        <v>1.3826513778574192</v>
      </c>
      <c r="M12" s="137">
        <f t="shared" si="2"/>
        <v>6.5892892500000002</v>
      </c>
      <c r="N12" s="53">
        <f t="shared" si="3"/>
        <v>1.6493552449318647</v>
      </c>
      <c r="O12" s="137">
        <f t="shared" si="4"/>
        <v>4.8611542499999993</v>
      </c>
      <c r="P12" s="53">
        <f t="shared" si="11"/>
        <v>0.54558294542466212</v>
      </c>
      <c r="Q12" s="139">
        <v>6.7906750000000002</v>
      </c>
      <c r="R12" s="53">
        <v>1.2389362328895996</v>
      </c>
      <c r="S12" s="53">
        <v>3.2056250000000004</v>
      </c>
      <c r="T12" s="53">
        <v>0.75242658722739497</v>
      </c>
      <c r="U12" s="53">
        <v>3.5850499999999998</v>
      </c>
      <c r="V12" s="53">
        <v>0.84686911424768774</v>
      </c>
      <c r="W12" s="53">
        <v>1.02</v>
      </c>
      <c r="X12" s="137">
        <f t="shared" si="5"/>
        <v>10.38973275</v>
      </c>
      <c r="Y12" s="53">
        <f t="shared" si="6"/>
        <v>1.8955724363210873</v>
      </c>
      <c r="Z12" s="53">
        <f t="shared" si="7"/>
        <v>4.9046062500000014</v>
      </c>
      <c r="AA12" s="53">
        <f t="shared" si="8"/>
        <v>1.1512126784579142</v>
      </c>
      <c r="AB12" s="53">
        <f t="shared" si="9"/>
        <v>5.4851264999999989</v>
      </c>
      <c r="AC12" s="53">
        <f t="shared" si="10"/>
        <v>1.2957097447989623</v>
      </c>
    </row>
    <row r="13" spans="2:34">
      <c r="B13" s="2" t="s">
        <v>71</v>
      </c>
      <c r="C13" s="16" t="s">
        <v>89</v>
      </c>
      <c r="D13" s="2">
        <v>8.373875</v>
      </c>
      <c r="E13" s="2">
        <v>0.80974517545130631</v>
      </c>
      <c r="F13" s="2">
        <v>5.1081500000000002</v>
      </c>
      <c r="G13" s="2">
        <v>1.1072656968105397</v>
      </c>
      <c r="H13" s="2">
        <v>3.2657249999999998</v>
      </c>
      <c r="I13" s="2">
        <v>1.1798200240573415</v>
      </c>
      <c r="J13" s="53">
        <v>1.02</v>
      </c>
      <c r="K13" s="53">
        <f t="shared" si="0"/>
        <v>12.81202875</v>
      </c>
      <c r="L13" s="53">
        <f t="shared" si="1"/>
        <v>1.2389101184404987</v>
      </c>
      <c r="M13" s="137">
        <f t="shared" si="2"/>
        <v>7.815469499999999</v>
      </c>
      <c r="N13" s="53">
        <f t="shared" si="3"/>
        <v>1.6941165161201257</v>
      </c>
      <c r="O13" s="137">
        <f t="shared" si="4"/>
        <v>4.9965592499999998</v>
      </c>
      <c r="P13" s="53">
        <f t="shared" si="11"/>
        <v>1.8051246368077327</v>
      </c>
      <c r="Q13" s="139">
        <v>6.8338999999999999</v>
      </c>
      <c r="R13" s="53">
        <v>0.75282047439390642</v>
      </c>
      <c r="S13" s="53">
        <v>3.9058250000000001</v>
      </c>
      <c r="T13" s="53">
        <v>1.2468127134818594</v>
      </c>
      <c r="U13" s="53">
        <v>2.9280749999999998</v>
      </c>
      <c r="V13" s="53">
        <v>0.58468402506539108</v>
      </c>
      <c r="W13" s="53">
        <v>1.02</v>
      </c>
      <c r="X13" s="137">
        <f t="shared" si="5"/>
        <v>10.455866999999998</v>
      </c>
      <c r="Y13" s="53">
        <f t="shared" si="6"/>
        <v>1.1518153258226769</v>
      </c>
      <c r="Z13" s="53">
        <f t="shared" si="7"/>
        <v>5.9759122500000004</v>
      </c>
      <c r="AA13" s="53">
        <f t="shared" si="8"/>
        <v>1.9076234516272448</v>
      </c>
      <c r="AB13" s="53">
        <f t="shared" si="9"/>
        <v>4.4799547500000001</v>
      </c>
      <c r="AC13" s="53">
        <f t="shared" si="10"/>
        <v>0.89456655835004828</v>
      </c>
      <c r="AD13" s="51"/>
    </row>
    <row r="14" spans="2:34">
      <c r="B14" s="2" t="s">
        <v>71</v>
      </c>
      <c r="C14" s="16" t="s">
        <v>90</v>
      </c>
      <c r="D14" s="2">
        <v>8.2398749999999996</v>
      </c>
      <c r="E14" s="2">
        <v>2.3540568038671772</v>
      </c>
      <c r="F14" s="2">
        <v>4.8817250000000003</v>
      </c>
      <c r="G14" s="2">
        <v>2.283283441851522</v>
      </c>
      <c r="H14" s="2">
        <v>3.3581499999999993</v>
      </c>
      <c r="I14" s="2">
        <v>0.29659810630998062</v>
      </c>
      <c r="J14" s="53">
        <v>1.02</v>
      </c>
      <c r="K14" s="53">
        <f t="shared" si="0"/>
        <v>12.60700875</v>
      </c>
      <c r="L14" s="53">
        <f t="shared" si="1"/>
        <v>3.6017069099167811</v>
      </c>
      <c r="M14" s="137">
        <f t="shared" si="2"/>
        <v>7.4690392500000007</v>
      </c>
      <c r="N14" s="53">
        <f t="shared" si="3"/>
        <v>3.4934236660328279</v>
      </c>
      <c r="O14" s="137">
        <f t="shared" si="4"/>
        <v>5.1379694999999979</v>
      </c>
      <c r="P14" s="53">
        <f t="shared" si="11"/>
        <v>0.45379510265427031</v>
      </c>
      <c r="Q14" s="139">
        <v>5.2715750000000003</v>
      </c>
      <c r="R14" s="53">
        <v>1.6907172568173539</v>
      </c>
      <c r="S14" s="53">
        <v>2.2822750000000003</v>
      </c>
      <c r="T14" s="53">
        <v>1.2883994369630349</v>
      </c>
      <c r="U14" s="53">
        <v>2.9893000000000001</v>
      </c>
      <c r="V14" s="53">
        <v>0.4817265683628692</v>
      </c>
      <c r="W14" s="53">
        <v>1.02</v>
      </c>
      <c r="X14" s="137">
        <f t="shared" si="5"/>
        <v>8.0655097500000004</v>
      </c>
      <c r="Y14" s="53">
        <f t="shared" si="6"/>
        <v>2.5867974029305514</v>
      </c>
      <c r="Z14" s="53">
        <f t="shared" si="7"/>
        <v>3.4918807500000004</v>
      </c>
      <c r="AA14" s="53">
        <f t="shared" si="8"/>
        <v>1.9712511385534435</v>
      </c>
      <c r="AB14" s="53">
        <f t="shared" si="9"/>
        <v>4.5736289999999995</v>
      </c>
      <c r="AC14" s="53">
        <f t="shared" si="10"/>
        <v>0.73704164959518981</v>
      </c>
    </row>
    <row r="15" spans="2:34">
      <c r="B15" s="2" t="s">
        <v>71</v>
      </c>
      <c r="C15" s="16" t="s">
        <v>91</v>
      </c>
      <c r="D15" s="2">
        <v>7.1241250000000003</v>
      </c>
      <c r="E15" s="2">
        <v>0.8826318008282551</v>
      </c>
      <c r="F15" s="2">
        <v>3.99925</v>
      </c>
      <c r="G15" s="2">
        <v>1.529584541632139</v>
      </c>
      <c r="H15" s="2">
        <v>3.1248750000000003</v>
      </c>
      <c r="I15" s="2">
        <v>0.67132879363741327</v>
      </c>
      <c r="J15" s="53">
        <v>1.02</v>
      </c>
      <c r="K15" s="53">
        <f t="shared" si="0"/>
        <v>10.899911250000001</v>
      </c>
      <c r="L15" s="53">
        <f t="shared" si="1"/>
        <v>1.3504266552672304</v>
      </c>
      <c r="M15" s="137">
        <f t="shared" si="2"/>
        <v>6.1188524999999991</v>
      </c>
      <c r="N15" s="53">
        <f t="shared" si="3"/>
        <v>2.3402643486971728</v>
      </c>
      <c r="O15" s="137">
        <f t="shared" si="4"/>
        <v>4.7810587500000006</v>
      </c>
      <c r="P15" s="53">
        <f t="shared" si="11"/>
        <v>1.0271330542652424</v>
      </c>
      <c r="Q15" s="139">
        <v>4.2379750000000005</v>
      </c>
      <c r="R15" s="53">
        <v>0.90019206237705862</v>
      </c>
      <c r="S15" s="53">
        <v>1.5685249999999999</v>
      </c>
      <c r="T15" s="53">
        <v>0.61796817811815064</v>
      </c>
      <c r="U15" s="53">
        <v>2.6694500000000003</v>
      </c>
      <c r="V15" s="53">
        <v>0.34287026214978966</v>
      </c>
      <c r="W15" s="53">
        <v>1.02</v>
      </c>
      <c r="X15" s="137">
        <f t="shared" si="5"/>
        <v>6.4841017499999998</v>
      </c>
      <c r="Y15" s="53">
        <f t="shared" si="6"/>
        <v>1.3772938554368996</v>
      </c>
      <c r="Z15" s="53">
        <f t="shared" si="7"/>
        <v>2.39984325</v>
      </c>
      <c r="AA15" s="53">
        <f t="shared" si="8"/>
        <v>0.94549131252077045</v>
      </c>
      <c r="AB15" s="53">
        <f t="shared" si="9"/>
        <v>4.0842585000000007</v>
      </c>
      <c r="AC15" s="53">
        <f t="shared" si="10"/>
        <v>0.52459150108917818</v>
      </c>
    </row>
    <row r="16" spans="2:34">
      <c r="B16" s="2" t="s">
        <v>71</v>
      </c>
      <c r="C16" s="16" t="s">
        <v>92</v>
      </c>
      <c r="D16" s="2">
        <v>8.2884799999999998</v>
      </c>
      <c r="E16" s="2">
        <v>1.3075579076193045</v>
      </c>
      <c r="F16" s="2">
        <v>4.1841499999999998</v>
      </c>
      <c r="G16" s="2">
        <v>1.0665710168052056</v>
      </c>
      <c r="H16" s="2">
        <v>4.1042799999999993</v>
      </c>
      <c r="I16" s="2">
        <v>1.074645717124179</v>
      </c>
      <c r="J16" s="53">
        <v>1.02</v>
      </c>
      <c r="K16" s="53">
        <f t="shared" si="0"/>
        <v>12.681374399999999</v>
      </c>
      <c r="L16" s="53">
        <f t="shared" si="1"/>
        <v>2.0005635986575356</v>
      </c>
      <c r="M16" s="137">
        <f t="shared" si="2"/>
        <v>6.4017494999999984</v>
      </c>
      <c r="N16" s="53">
        <f t="shared" si="3"/>
        <v>1.6318536557119645</v>
      </c>
      <c r="O16" s="137">
        <f t="shared" si="4"/>
        <v>6.2795483999999986</v>
      </c>
      <c r="P16" s="53">
        <f t="shared" si="11"/>
        <v>1.6442079471999937</v>
      </c>
      <c r="Q16" s="139">
        <v>8.655899999999999</v>
      </c>
      <c r="R16" s="53">
        <v>1.9657568516986683E-2</v>
      </c>
      <c r="S16" s="53">
        <v>3.4097</v>
      </c>
      <c r="T16" s="53">
        <v>2.7294321753800553E-2</v>
      </c>
      <c r="U16" s="53">
        <v>5.2462</v>
      </c>
      <c r="V16" s="53">
        <v>4.6951890270786605E-2</v>
      </c>
      <c r="W16" s="53">
        <v>1.02</v>
      </c>
      <c r="X16" s="137">
        <f>Q16*W16*0.15*1000/100</f>
        <v>13.243526999999998</v>
      </c>
      <c r="Y16" s="53">
        <f t="shared" si="6"/>
        <v>3.0076079830989623E-2</v>
      </c>
      <c r="Z16" s="53">
        <f t="shared" si="7"/>
        <v>5.2168409999999996</v>
      </c>
      <c r="AA16" s="53">
        <f t="shared" si="8"/>
        <v>4.1760312283314852E-2</v>
      </c>
      <c r="AB16" s="53">
        <f t="shared" si="9"/>
        <v>8.0266860000000015</v>
      </c>
      <c r="AC16" s="53">
        <f t="shared" si="10"/>
        <v>7.1836392114303496E-2</v>
      </c>
    </row>
    <row r="17" spans="2:34">
      <c r="B17" s="2"/>
      <c r="C17" s="16"/>
      <c r="D17" s="2"/>
      <c r="E17" s="2"/>
      <c r="F17" s="2"/>
      <c r="G17" s="2"/>
      <c r="H17" s="2"/>
      <c r="I17" s="2"/>
      <c r="J17" s="53"/>
      <c r="K17" s="53"/>
      <c r="L17" s="53"/>
      <c r="M17" s="137"/>
      <c r="N17" s="53"/>
      <c r="O17" s="137"/>
      <c r="P17" s="53"/>
      <c r="R17" s="53"/>
      <c r="T17" s="53"/>
      <c r="U17" s="53"/>
      <c r="V17" s="53"/>
      <c r="W17" s="53"/>
      <c r="X17" s="137"/>
      <c r="Y17" s="53"/>
      <c r="Z17" s="53"/>
      <c r="AA17" s="53"/>
      <c r="AB17" s="53"/>
      <c r="AC17" s="53"/>
    </row>
    <row r="18" spans="2:34">
      <c r="B18" s="2" t="s">
        <v>72</v>
      </c>
      <c r="C18" s="16" t="s">
        <v>226</v>
      </c>
      <c r="D18" s="2">
        <v>6.3887749999999999</v>
      </c>
      <c r="E18" s="2">
        <v>0.95255866792199606</v>
      </c>
      <c r="F18" s="2">
        <v>2.9876999999999998</v>
      </c>
      <c r="G18" s="2">
        <v>0.22544603197513435</v>
      </c>
      <c r="H18" s="2">
        <v>3.4010750000000001</v>
      </c>
      <c r="I18" s="2">
        <v>1.1704143066310608</v>
      </c>
      <c r="J18" s="53">
        <v>1.02</v>
      </c>
      <c r="K18" s="53">
        <f t="shared" si="0"/>
        <v>9.7748257499999998</v>
      </c>
      <c r="L18" s="53">
        <f t="shared" si="1"/>
        <v>1.4574147619206539</v>
      </c>
      <c r="M18" s="137">
        <f t="shared" si="2"/>
        <v>4.5711809999999993</v>
      </c>
      <c r="N18" s="53">
        <f t="shared" si="3"/>
        <v>0.34493242892195553</v>
      </c>
      <c r="O18" s="137">
        <f t="shared" si="4"/>
        <v>5.2036447499999996</v>
      </c>
      <c r="P18" s="53">
        <f t="shared" si="11"/>
        <v>1.7907338891455229</v>
      </c>
      <c r="Q18" s="139">
        <v>5.833825</v>
      </c>
      <c r="R18" s="53">
        <v>1.0661804799532442</v>
      </c>
      <c r="S18" s="53">
        <v>2.8554249999999999</v>
      </c>
      <c r="T18" s="53">
        <v>0.28414244520427889</v>
      </c>
      <c r="U18" s="53">
        <v>2.9783999999999997</v>
      </c>
      <c r="V18" s="53">
        <v>1.3055991906655997</v>
      </c>
      <c r="W18" s="53">
        <v>1.02</v>
      </c>
      <c r="X18" s="137">
        <f t="shared" si="5"/>
        <v>8.9257522500000004</v>
      </c>
      <c r="Y18" s="53">
        <f t="shared" si="6"/>
        <v>1.6312561343284637</v>
      </c>
      <c r="Z18" s="53">
        <f t="shared" si="7"/>
        <v>4.3688002499999996</v>
      </c>
      <c r="AA18" s="53">
        <f t="shared" si="8"/>
        <v>0.43473794116254671</v>
      </c>
      <c r="AB18" s="53">
        <f t="shared" si="9"/>
        <v>4.556951999999999</v>
      </c>
      <c r="AC18" s="53">
        <f t="shared" si="10"/>
        <v>1.9975667617183674</v>
      </c>
    </row>
    <row r="19" spans="2:34">
      <c r="B19" s="2" t="s">
        <v>72</v>
      </c>
      <c r="C19" s="16" t="s">
        <v>82</v>
      </c>
      <c r="D19" s="2">
        <v>6.1709666666666676</v>
      </c>
      <c r="E19" s="2">
        <v>1.4228593547267139</v>
      </c>
      <c r="F19" s="2">
        <v>4.3921333333333337</v>
      </c>
      <c r="G19" s="2">
        <v>1.7979973034833316</v>
      </c>
      <c r="H19" s="2">
        <v>1.7788333333333339</v>
      </c>
      <c r="I19" s="2">
        <v>0.53</v>
      </c>
      <c r="J19" s="53">
        <v>1.02</v>
      </c>
      <c r="K19" s="53">
        <f t="shared" si="0"/>
        <v>9.4415790000000008</v>
      </c>
      <c r="L19" s="53">
        <f t="shared" si="1"/>
        <v>2.176974812731872</v>
      </c>
      <c r="M19" s="137">
        <f t="shared" si="2"/>
        <v>6.719964</v>
      </c>
      <c r="N19" s="53">
        <f t="shared" si="3"/>
        <v>2.7509358743294974</v>
      </c>
      <c r="O19" s="137">
        <f t="shared" si="4"/>
        <v>2.7216150000000012</v>
      </c>
      <c r="P19" s="53">
        <v>1.41</v>
      </c>
      <c r="Q19" s="139">
        <v>4.3499999999999996</v>
      </c>
      <c r="R19" s="53">
        <v>1.1200000000000001</v>
      </c>
      <c r="S19" s="53">
        <v>1.92</v>
      </c>
      <c r="T19" s="53">
        <v>0.39</v>
      </c>
      <c r="U19" s="53">
        <v>2.4299999999999997</v>
      </c>
      <c r="V19" s="53">
        <v>1.41</v>
      </c>
      <c r="W19" s="53">
        <v>1.02</v>
      </c>
      <c r="X19" s="137">
        <f t="shared" si="5"/>
        <v>6.6554999999999982</v>
      </c>
      <c r="Y19" s="53">
        <f t="shared" si="6"/>
        <v>1.7136000000000002</v>
      </c>
      <c r="Z19" s="53">
        <f t="shared" si="7"/>
        <v>2.9375999999999998</v>
      </c>
      <c r="AA19" s="53">
        <f t="shared" si="8"/>
        <v>0.59670000000000001</v>
      </c>
      <c r="AB19" s="53">
        <f t="shared" si="9"/>
        <v>3.7178999999999998</v>
      </c>
      <c r="AC19" s="53">
        <f t="shared" si="10"/>
        <v>2.1572999999999998</v>
      </c>
    </row>
    <row r="20" spans="2:34">
      <c r="B20" s="2" t="s">
        <v>72</v>
      </c>
      <c r="C20" s="16" t="s">
        <v>83</v>
      </c>
      <c r="D20" s="2">
        <v>6.1526249999999996</v>
      </c>
      <c r="E20" s="2">
        <v>1.1323083160076184</v>
      </c>
      <c r="F20" s="2">
        <v>4.501125</v>
      </c>
      <c r="G20" s="2">
        <v>1.3290666734592356</v>
      </c>
      <c r="H20" s="2">
        <v>1.6514999999999995</v>
      </c>
      <c r="I20" s="2">
        <v>0.33</v>
      </c>
      <c r="J20" s="53">
        <v>1.02</v>
      </c>
      <c r="K20" s="53">
        <f t="shared" si="0"/>
        <v>9.4135162499999989</v>
      </c>
      <c r="L20" s="53">
        <f t="shared" si="1"/>
        <v>1.732431723491656</v>
      </c>
      <c r="M20" s="137">
        <f t="shared" si="2"/>
        <v>6.886721249999999</v>
      </c>
      <c r="N20" s="53">
        <f t="shared" si="3"/>
        <v>2.0334720103926305</v>
      </c>
      <c r="O20" s="137">
        <f t="shared" si="4"/>
        <v>2.5267949999999995</v>
      </c>
      <c r="P20" s="53">
        <f t="shared" si="11"/>
        <v>0.50490000000000002</v>
      </c>
      <c r="Q20" s="139" t="s">
        <v>84</v>
      </c>
      <c r="R20" s="53" t="s">
        <v>84</v>
      </c>
      <c r="S20" s="53" t="s">
        <v>84</v>
      </c>
      <c r="T20" s="53" t="s">
        <v>84</v>
      </c>
      <c r="U20" s="53" t="s">
        <v>84</v>
      </c>
      <c r="V20" s="53" t="s">
        <v>84</v>
      </c>
      <c r="W20" s="53" t="s">
        <v>84</v>
      </c>
      <c r="X20" s="137" t="s">
        <v>84</v>
      </c>
      <c r="Y20" s="53" t="s">
        <v>84</v>
      </c>
      <c r="Z20" s="53" t="s">
        <v>84</v>
      </c>
      <c r="AA20" s="53" t="s">
        <v>84</v>
      </c>
      <c r="AB20" s="53" t="s">
        <v>84</v>
      </c>
      <c r="AC20" s="53" t="s">
        <v>84</v>
      </c>
    </row>
    <row r="21" spans="2:34">
      <c r="B21" s="2" t="s">
        <v>72</v>
      </c>
      <c r="C21" s="16" t="s">
        <v>85</v>
      </c>
      <c r="D21" s="2">
        <v>7.43</v>
      </c>
      <c r="E21" s="2">
        <v>0.19</v>
      </c>
      <c r="F21" s="2">
        <v>5.45</v>
      </c>
      <c r="G21" s="2">
        <v>0.3</v>
      </c>
      <c r="H21" s="2">
        <v>1.9799999999999995</v>
      </c>
      <c r="I21" s="2">
        <v>0.15686113550951136</v>
      </c>
      <c r="J21" s="53">
        <v>1.02</v>
      </c>
      <c r="K21" s="53">
        <f t="shared" si="0"/>
        <v>11.367899999999999</v>
      </c>
      <c r="L21" s="53">
        <f t="shared" si="1"/>
        <v>0.29070000000000001</v>
      </c>
      <c r="M21" s="137">
        <f t="shared" si="2"/>
        <v>8.3384999999999998</v>
      </c>
      <c r="N21" s="53">
        <f t="shared" si="3"/>
        <v>0.45899999999999996</v>
      </c>
      <c r="O21" s="137">
        <f t="shared" si="4"/>
        <v>3.0293999999999994</v>
      </c>
      <c r="P21" s="53">
        <f t="shared" si="11"/>
        <v>0.23999753732955242</v>
      </c>
      <c r="Q21" s="139" t="s">
        <v>84</v>
      </c>
      <c r="R21" s="53" t="s">
        <v>84</v>
      </c>
      <c r="S21" s="53" t="s">
        <v>84</v>
      </c>
      <c r="T21" s="53" t="s">
        <v>84</v>
      </c>
      <c r="U21" s="53" t="s">
        <v>84</v>
      </c>
      <c r="V21" s="53" t="s">
        <v>84</v>
      </c>
      <c r="W21" s="53" t="s">
        <v>84</v>
      </c>
      <c r="X21" s="137" t="s">
        <v>84</v>
      </c>
      <c r="Y21" s="53" t="s">
        <v>84</v>
      </c>
      <c r="Z21" s="53" t="s">
        <v>84</v>
      </c>
      <c r="AA21" s="53" t="s">
        <v>84</v>
      </c>
      <c r="AB21" s="53" t="s">
        <v>84</v>
      </c>
      <c r="AC21" s="53" t="s">
        <v>84</v>
      </c>
    </row>
    <row r="22" spans="2:34">
      <c r="B22" s="2" t="s">
        <v>72</v>
      </c>
      <c r="C22" s="16" t="s">
        <v>86</v>
      </c>
      <c r="D22" s="2">
        <v>7.4567666666666668</v>
      </c>
      <c r="E22" s="2">
        <v>1.0810421885076071</v>
      </c>
      <c r="F22" s="2">
        <v>4.6666333333333334</v>
      </c>
      <c r="G22" s="2">
        <v>1.2130091604490576</v>
      </c>
      <c r="H22" s="2">
        <v>2.7901333333333334</v>
      </c>
      <c r="I22" s="2">
        <v>0.27</v>
      </c>
      <c r="J22" s="53">
        <v>1.02</v>
      </c>
      <c r="K22" s="53">
        <f t="shared" si="0"/>
        <v>11.408853000000001</v>
      </c>
      <c r="L22" s="53">
        <f t="shared" si="1"/>
        <v>1.6539945484166387</v>
      </c>
      <c r="M22" s="137">
        <f t="shared" si="2"/>
        <v>7.1399490000000005</v>
      </c>
      <c r="N22" s="53">
        <f t="shared" si="3"/>
        <v>1.8559040154870581</v>
      </c>
      <c r="O22" s="137">
        <f t="shared" si="4"/>
        <v>4.268904</v>
      </c>
      <c r="P22" s="53">
        <f t="shared" si="11"/>
        <v>0.41310000000000008</v>
      </c>
      <c r="Q22" s="139">
        <v>6.6039666666666674</v>
      </c>
      <c r="R22" s="53">
        <v>0.35373408562553504</v>
      </c>
      <c r="S22" s="53">
        <v>3.0669</v>
      </c>
      <c r="T22" s="53">
        <v>0.31861263314564281</v>
      </c>
      <c r="U22" s="53">
        <v>3.5370666666666675</v>
      </c>
      <c r="V22" s="53">
        <v>0.55000000000000004</v>
      </c>
      <c r="W22" s="53">
        <v>1.02</v>
      </c>
      <c r="X22" s="137">
        <f t="shared" si="5"/>
        <v>10.104068999999999</v>
      </c>
      <c r="Y22" s="53">
        <f t="shared" si="6"/>
        <v>0.54121315100706857</v>
      </c>
      <c r="Z22" s="53">
        <f t="shared" si="7"/>
        <v>4.6923569999999994</v>
      </c>
      <c r="AA22" s="53">
        <f t="shared" si="8"/>
        <v>0.48747732871283345</v>
      </c>
      <c r="AB22" s="53">
        <f t="shared" si="9"/>
        <v>5.4117120000000014</v>
      </c>
      <c r="AC22" s="53">
        <f t="shared" si="10"/>
        <v>0.84150000000000003</v>
      </c>
    </row>
    <row r="23" spans="2:34">
      <c r="B23" s="2" t="s">
        <v>72</v>
      </c>
      <c r="C23" s="16" t="s">
        <v>87</v>
      </c>
      <c r="D23" s="2">
        <v>7.3968500000000006</v>
      </c>
      <c r="E23" s="2">
        <v>0.37340209337031505</v>
      </c>
      <c r="F23" s="2">
        <v>4.3740250000000005</v>
      </c>
      <c r="G23" s="2">
        <v>0.87277075025461048</v>
      </c>
      <c r="H23" s="2">
        <v>3.0228250000000001</v>
      </c>
      <c r="I23" s="2">
        <v>0.75</v>
      </c>
      <c r="J23" s="53">
        <v>1.02</v>
      </c>
      <c r="K23" s="53">
        <f t="shared" si="0"/>
        <v>11.317180499999999</v>
      </c>
      <c r="L23" s="53">
        <f t="shared" si="1"/>
        <v>0.57130520285658193</v>
      </c>
      <c r="M23" s="137">
        <f t="shared" si="2"/>
        <v>6.692258250000001</v>
      </c>
      <c r="N23" s="53">
        <f t="shared" si="3"/>
        <v>1.335339247889554</v>
      </c>
      <c r="O23" s="137">
        <f t="shared" si="4"/>
        <v>4.62492225</v>
      </c>
      <c r="P23" s="53">
        <f t="shared" si="11"/>
        <v>1.1475</v>
      </c>
      <c r="Q23" s="139" t="s">
        <v>84</v>
      </c>
      <c r="R23" s="53" t="s">
        <v>84</v>
      </c>
      <c r="S23" s="53" t="s">
        <v>84</v>
      </c>
      <c r="T23" s="53" t="s">
        <v>84</v>
      </c>
      <c r="U23" s="53" t="s">
        <v>84</v>
      </c>
      <c r="V23" s="53" t="s">
        <v>84</v>
      </c>
      <c r="W23" s="53" t="s">
        <v>84</v>
      </c>
      <c r="X23" s="137" t="s">
        <v>84</v>
      </c>
      <c r="Y23" s="53" t="s">
        <v>84</v>
      </c>
      <c r="Z23" s="53" t="s">
        <v>84</v>
      </c>
      <c r="AA23" s="53" t="s">
        <v>84</v>
      </c>
      <c r="AB23" s="53" t="s">
        <v>84</v>
      </c>
      <c r="AC23" s="53" t="s">
        <v>84</v>
      </c>
    </row>
    <row r="24" spans="2:34">
      <c r="B24" s="2" t="s">
        <v>72</v>
      </c>
      <c r="C24" s="16" t="s">
        <v>88</v>
      </c>
      <c r="D24" s="2">
        <v>6.3100249999999996</v>
      </c>
      <c r="E24" s="2">
        <v>0.22376954477020952</v>
      </c>
      <c r="F24" s="2">
        <v>2.8469000000000002</v>
      </c>
      <c r="G24" s="2">
        <v>0.25310593302673356</v>
      </c>
      <c r="H24" s="2">
        <v>3.4631249999999993</v>
      </c>
      <c r="I24" s="2">
        <v>0.25939695931139983</v>
      </c>
      <c r="J24" s="53">
        <v>1.02</v>
      </c>
      <c r="K24" s="53">
        <f t="shared" si="0"/>
        <v>9.6543382500000003</v>
      </c>
      <c r="L24" s="53">
        <f t="shared" si="1"/>
        <v>0.34236740349842054</v>
      </c>
      <c r="M24" s="137">
        <f t="shared" si="2"/>
        <v>4.3557570000000005</v>
      </c>
      <c r="N24" s="53">
        <f t="shared" si="3"/>
        <v>0.38725207753090229</v>
      </c>
      <c r="O24" s="137">
        <f t="shared" si="4"/>
        <v>5.2985812499999998</v>
      </c>
      <c r="P24" s="53">
        <f t="shared" si="11"/>
        <v>0.39687734774644179</v>
      </c>
      <c r="Q24" s="139">
        <v>6.8518499999999998</v>
      </c>
      <c r="R24" s="53">
        <v>0.8369865411104328</v>
      </c>
      <c r="S24" s="53">
        <v>4.0672249999999996</v>
      </c>
      <c r="T24" s="53">
        <v>1.0358931681565109</v>
      </c>
      <c r="U24" s="53">
        <v>2.7846250000000001</v>
      </c>
      <c r="V24" s="53">
        <v>0.34131404283054506</v>
      </c>
      <c r="W24" s="53">
        <v>1.02</v>
      </c>
      <c r="X24" s="137">
        <f t="shared" si="5"/>
        <v>10.483330499999999</v>
      </c>
      <c r="Y24" s="53">
        <f t="shared" si="6"/>
        <v>1.2805894078989621</v>
      </c>
      <c r="Z24" s="53">
        <f t="shared" si="7"/>
        <v>6.2228542499999993</v>
      </c>
      <c r="AA24" s="53">
        <f t="shared" si="8"/>
        <v>1.5849165472794615</v>
      </c>
      <c r="AB24" s="53">
        <f t="shared" si="9"/>
        <v>4.26047625</v>
      </c>
      <c r="AC24" s="53">
        <f t="shared" si="10"/>
        <v>0.5222104855307339</v>
      </c>
    </row>
    <row r="25" spans="2:34">
      <c r="B25" s="2" t="s">
        <v>72</v>
      </c>
      <c r="C25" s="16" t="s">
        <v>89</v>
      </c>
      <c r="D25" s="2">
        <v>6.7934000000000001</v>
      </c>
      <c r="E25" s="2">
        <v>1.2425414547075138</v>
      </c>
      <c r="F25" s="2">
        <v>3.60805</v>
      </c>
      <c r="G25" s="2">
        <v>1.1704605888281769</v>
      </c>
      <c r="H25" s="2">
        <v>3.1853500000000001</v>
      </c>
      <c r="I25" s="2">
        <v>0.67553304631725197</v>
      </c>
      <c r="J25" s="53">
        <v>1.02</v>
      </c>
      <c r="K25" s="53">
        <f t="shared" si="0"/>
        <v>10.393901999999999</v>
      </c>
      <c r="L25" s="53">
        <f t="shared" si="1"/>
        <v>1.901088425702496</v>
      </c>
      <c r="M25" s="137">
        <f t="shared" si="2"/>
        <v>5.5203164999999998</v>
      </c>
      <c r="N25" s="53">
        <f t="shared" si="3"/>
        <v>1.7908047009071106</v>
      </c>
      <c r="O25" s="137">
        <f t="shared" si="4"/>
        <v>4.8735854999999999</v>
      </c>
      <c r="P25" s="53">
        <f t="shared" si="11"/>
        <v>1.0335655608653953</v>
      </c>
      <c r="Q25" s="139">
        <v>5.53925</v>
      </c>
      <c r="R25" s="53">
        <v>0.4047308447186434</v>
      </c>
      <c r="S25" s="53">
        <v>2.8292500000000005</v>
      </c>
      <c r="T25" s="53">
        <v>0.2935014082873651</v>
      </c>
      <c r="U25" s="53">
        <v>2.7099999999999995</v>
      </c>
      <c r="V25" s="53">
        <v>0.11195460389520999</v>
      </c>
      <c r="W25" s="53">
        <v>1.02</v>
      </c>
      <c r="X25" s="137">
        <f t="shared" si="5"/>
        <v>8.4750524999999985</v>
      </c>
      <c r="Y25" s="53">
        <f t="shared" si="6"/>
        <v>0.61923819241952438</v>
      </c>
      <c r="Z25" s="53">
        <f t="shared" si="7"/>
        <v>4.3287525000000011</v>
      </c>
      <c r="AA25" s="53">
        <f t="shared" si="8"/>
        <v>0.44905715467966867</v>
      </c>
      <c r="AB25" s="53">
        <f t="shared" si="9"/>
        <v>4.1462999999999992</v>
      </c>
      <c r="AC25" s="53">
        <f t="shared" si="10"/>
        <v>0.17129054395967128</v>
      </c>
    </row>
    <row r="26" spans="2:34">
      <c r="B26" s="2" t="s">
        <v>72</v>
      </c>
      <c r="C26" s="16" t="s">
        <v>90</v>
      </c>
      <c r="D26" s="2">
        <v>5.5892499999999998</v>
      </c>
      <c r="E26" s="2">
        <v>1.142808139336317</v>
      </c>
      <c r="F26" s="2">
        <v>3.0793999999999997</v>
      </c>
      <c r="G26" s="2">
        <v>0.62971490374613504</v>
      </c>
      <c r="H26" s="2">
        <v>2.5098500000000001</v>
      </c>
      <c r="I26" s="2">
        <v>0.56473569924345879</v>
      </c>
      <c r="J26" s="53">
        <v>1.02</v>
      </c>
      <c r="K26" s="53">
        <f t="shared" si="0"/>
        <v>8.5515524999999997</v>
      </c>
      <c r="L26" s="53">
        <f t="shared" si="1"/>
        <v>1.7484964531845648</v>
      </c>
      <c r="M26" s="137">
        <f t="shared" si="2"/>
        <v>4.7114819999999993</v>
      </c>
      <c r="N26" s="53">
        <f t="shared" si="3"/>
        <v>0.9634638027315866</v>
      </c>
      <c r="O26" s="137">
        <f t="shared" si="4"/>
        <v>3.8400705000000004</v>
      </c>
      <c r="P26" s="53">
        <f t="shared" si="11"/>
        <v>0.86404561984249184</v>
      </c>
      <c r="Q26" s="139">
        <v>6.8505500000000001</v>
      </c>
      <c r="R26" s="53">
        <v>3.9039497729863291</v>
      </c>
      <c r="S26" s="53">
        <v>2.3370500000000001</v>
      </c>
      <c r="T26" s="53">
        <v>0.92134322775680733</v>
      </c>
      <c r="U26" s="53">
        <v>4.5135000000000005</v>
      </c>
      <c r="V26" s="53">
        <v>3.6061929038807663</v>
      </c>
      <c r="W26" s="53">
        <v>1.02</v>
      </c>
      <c r="X26" s="137">
        <f t="shared" si="5"/>
        <v>10.481341500000001</v>
      </c>
      <c r="Y26" s="53">
        <f t="shared" si="6"/>
        <v>5.9730431526690824</v>
      </c>
      <c r="Z26" s="53">
        <f t="shared" si="7"/>
        <v>3.5756864999999998</v>
      </c>
      <c r="AA26" s="53">
        <f t="shared" si="8"/>
        <v>1.409655138467915</v>
      </c>
      <c r="AB26" s="53">
        <f t="shared" si="9"/>
        <v>6.9056550000000003</v>
      </c>
      <c r="AC26" s="53">
        <f t="shared" si="10"/>
        <v>5.517475142937573</v>
      </c>
    </row>
    <row r="27" spans="2:34">
      <c r="B27" s="2" t="s">
        <v>72</v>
      </c>
      <c r="C27" s="16" t="s">
        <v>91</v>
      </c>
      <c r="D27" s="2">
        <v>6.2634749999999997</v>
      </c>
      <c r="E27" s="2">
        <v>0.14632193672401492</v>
      </c>
      <c r="F27" s="2">
        <v>3.6345000000000001</v>
      </c>
      <c r="G27" s="2">
        <v>0.17457567604528029</v>
      </c>
      <c r="H27" s="2">
        <v>2.6289749999999996</v>
      </c>
      <c r="I27" s="2">
        <v>0.26657627270007844</v>
      </c>
      <c r="J27" s="53">
        <v>1.02</v>
      </c>
      <c r="K27" s="53">
        <f t="shared" si="0"/>
        <v>9.5831167499999985</v>
      </c>
      <c r="L27" s="53">
        <f t="shared" si="1"/>
        <v>0.22387256318774285</v>
      </c>
      <c r="M27" s="137">
        <f t="shared" si="2"/>
        <v>5.560785000000001</v>
      </c>
      <c r="N27" s="53">
        <f t="shared" si="3"/>
        <v>0.26710078434927881</v>
      </c>
      <c r="O27" s="137">
        <f t="shared" si="4"/>
        <v>4.0223317499999993</v>
      </c>
      <c r="P27" s="53">
        <f>V26*J27*0.15*1000/100</f>
        <v>5.517475142937573</v>
      </c>
      <c r="Q27" s="139">
        <v>5.4759250000000002</v>
      </c>
      <c r="R27" s="53">
        <v>0.90764598228971871</v>
      </c>
      <c r="S27" s="53">
        <v>2.3066499999999999</v>
      </c>
      <c r="T27" s="53">
        <v>0.55300800777806791</v>
      </c>
      <c r="U27" s="53">
        <v>3.1692750000000003</v>
      </c>
      <c r="V27" s="53">
        <v>0.41719072676654723</v>
      </c>
      <c r="W27" s="53">
        <v>1.02</v>
      </c>
      <c r="X27" s="137">
        <f t="shared" si="5"/>
        <v>8.3781652500000003</v>
      </c>
      <c r="Y27" s="53">
        <f t="shared" si="6"/>
        <v>1.3886983529032697</v>
      </c>
      <c r="Z27" s="53">
        <f t="shared" si="7"/>
        <v>3.5291745000000003</v>
      </c>
      <c r="AA27" s="53">
        <f t="shared" si="8"/>
        <v>0.84610225190044375</v>
      </c>
      <c r="AB27" s="53">
        <f t="shared" si="9"/>
        <v>4.8489907500000005</v>
      </c>
      <c r="AC27" s="53">
        <f t="shared" si="10"/>
        <v>0.63830181195281721</v>
      </c>
    </row>
    <row r="28" spans="2:34" s="2" customFormat="1">
      <c r="B28" s="2" t="s">
        <v>72</v>
      </c>
      <c r="C28" s="2" t="s">
        <v>92</v>
      </c>
      <c r="D28" s="2">
        <v>6.1515700000000013</v>
      </c>
      <c r="E28" s="2">
        <v>0.81387398976881831</v>
      </c>
      <c r="F28" s="2">
        <v>3.24769</v>
      </c>
      <c r="G28" s="2">
        <v>0.29746699704897234</v>
      </c>
      <c r="H28" s="2">
        <v>2.8998599999999999</v>
      </c>
      <c r="I28" s="2">
        <v>0.58653501401593011</v>
      </c>
      <c r="J28" s="53">
        <v>1.02</v>
      </c>
      <c r="K28" s="53">
        <f t="shared" si="0"/>
        <v>9.4119021000000025</v>
      </c>
      <c r="L28" s="53">
        <f t="shared" si="1"/>
        <v>1.245227204346292</v>
      </c>
      <c r="M28" s="137">
        <f t="shared" si="2"/>
        <v>4.9689657</v>
      </c>
      <c r="N28" s="53">
        <f t="shared" si="3"/>
        <v>0.45512450548492767</v>
      </c>
      <c r="O28" s="137">
        <f t="shared" si="4"/>
        <v>4.4367858</v>
      </c>
      <c r="P28" s="53">
        <f>V27*J28*0.15*1000/100</f>
        <v>0.63830181195281721</v>
      </c>
      <c r="Q28" s="139">
        <v>6.416500000000001</v>
      </c>
      <c r="R28" s="53">
        <v>0.45226778203478829</v>
      </c>
      <c r="S28" s="53">
        <v>3.2542999999999997</v>
      </c>
      <c r="T28" s="53">
        <v>0.32627578314466837</v>
      </c>
      <c r="U28" s="53">
        <v>3.1621999999999999</v>
      </c>
      <c r="V28" s="53">
        <v>0.14304276749746328</v>
      </c>
      <c r="W28" s="53">
        <v>1.02</v>
      </c>
      <c r="X28" s="137">
        <f t="shared" si="5"/>
        <v>9.8172450000000016</v>
      </c>
      <c r="Y28" s="53">
        <f t="shared" si="6"/>
        <v>0.69196970651322598</v>
      </c>
      <c r="Z28" s="53">
        <f t="shared" si="7"/>
        <v>4.9790789999999996</v>
      </c>
      <c r="AA28" s="53">
        <f t="shared" si="8"/>
        <v>0.49920194821134267</v>
      </c>
      <c r="AB28" s="53">
        <f t="shared" si="9"/>
        <v>4.8381660000000002</v>
      </c>
      <c r="AC28" s="53">
        <f t="shared" si="10"/>
        <v>0.21885543427111881</v>
      </c>
      <c r="AE28" s="54"/>
      <c r="AF28" s="54"/>
      <c r="AG28" s="54"/>
      <c r="AH28" s="54"/>
    </row>
    <row r="30" spans="2:34">
      <c r="K30" s="137"/>
      <c r="M30" s="137"/>
      <c r="O30" s="137"/>
    </row>
    <row r="31" spans="2:34">
      <c r="K31" s="140"/>
      <c r="L31" s="53"/>
    </row>
    <row r="33" spans="7:12">
      <c r="K33" s="53"/>
    </row>
    <row r="34" spans="7:12">
      <c r="L34" s="53"/>
    </row>
    <row r="37" spans="7:12">
      <c r="G37" s="52"/>
      <c r="H37" s="52"/>
      <c r="I37" s="52"/>
      <c r="J37" s="141"/>
      <c r="K37" s="14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1D36-2C4F-4747-B1B6-EA249977A29E}">
  <dimension ref="A1:S15"/>
  <sheetViews>
    <sheetView zoomScale="90" zoomScaleNormal="90" workbookViewId="0">
      <selection activeCell="L28" sqref="L28"/>
    </sheetView>
  </sheetViews>
  <sheetFormatPr defaultColWidth="9.33203125" defaultRowHeight="14.4"/>
  <cols>
    <col min="1" max="1" width="18.33203125" style="71" customWidth="1"/>
    <col min="2" max="2" width="14.109375" style="71" customWidth="1"/>
    <col min="3" max="3" width="14" style="71" customWidth="1"/>
    <col min="4" max="4" width="11.44140625" style="71" customWidth="1"/>
    <col min="5" max="5" width="11.33203125" style="71" customWidth="1"/>
    <col min="6" max="6" width="10.88671875" style="71" bestFit="1" customWidth="1"/>
    <col min="7" max="7" width="12.33203125" style="71" customWidth="1"/>
    <col min="8" max="9" width="11.44140625" style="71" customWidth="1"/>
    <col min="10" max="10" width="11.33203125" style="71" customWidth="1"/>
    <col min="11" max="11" width="11.5546875" style="71" customWidth="1"/>
    <col min="12" max="12" width="12" style="71" customWidth="1"/>
    <col min="13" max="13" width="10.88671875" style="71" customWidth="1"/>
    <col min="14" max="14" width="11.109375" style="71" customWidth="1"/>
    <col min="15" max="15" width="11.5546875" style="71" customWidth="1"/>
    <col min="16" max="16" width="13" style="71" customWidth="1"/>
    <col min="17" max="17" width="11.6640625" style="71" customWidth="1"/>
    <col min="18" max="18" width="10.88671875" style="71" bestFit="1" customWidth="1"/>
    <col min="19" max="16384" width="9.33203125" style="71"/>
  </cols>
  <sheetData>
    <row r="1" spans="1:19" s="108" customFormat="1" ht="23.4">
      <c r="A1" s="108" t="s">
        <v>147</v>
      </c>
    </row>
    <row r="2" spans="1:19">
      <c r="A2" s="78" t="s">
        <v>138</v>
      </c>
      <c r="C2" s="71" t="s">
        <v>146</v>
      </c>
    </row>
    <row r="3" spans="1:19">
      <c r="C3" s="72">
        <v>43338</v>
      </c>
      <c r="D3" s="72">
        <v>43371</v>
      </c>
      <c r="E3" s="72">
        <v>43431</v>
      </c>
      <c r="F3" s="72">
        <v>43493</v>
      </c>
      <c r="G3" s="72">
        <v>43517</v>
      </c>
      <c r="H3" s="72">
        <v>43549</v>
      </c>
      <c r="I3" s="72">
        <v>43580</v>
      </c>
      <c r="J3" s="72">
        <v>43637</v>
      </c>
      <c r="K3" s="72">
        <v>43670</v>
      </c>
      <c r="L3" s="72">
        <v>43706</v>
      </c>
      <c r="M3" s="72">
        <v>43738</v>
      </c>
      <c r="N3" s="72">
        <v>43768</v>
      </c>
      <c r="O3" s="72">
        <v>43790</v>
      </c>
      <c r="P3" s="72">
        <v>43810</v>
      </c>
      <c r="Q3" s="72">
        <v>43850</v>
      </c>
      <c r="R3" s="72">
        <v>43883</v>
      </c>
      <c r="S3" s="71" t="s">
        <v>116</v>
      </c>
    </row>
    <row r="4" spans="1:19">
      <c r="A4" s="71" t="s">
        <v>5</v>
      </c>
      <c r="B4" s="71" t="s">
        <v>139</v>
      </c>
      <c r="C4" s="95">
        <v>9.386190138614213E-2</v>
      </c>
      <c r="D4" s="95">
        <v>1.1428982256992605E-2</v>
      </c>
      <c r="E4" s="95">
        <v>7.5241022742190022E-2</v>
      </c>
      <c r="F4" s="95">
        <v>9.2903707441684691E-3</v>
      </c>
      <c r="G4" s="95">
        <v>8.7545222838570108E-2</v>
      </c>
      <c r="H4" s="95">
        <v>0.10151459623771059</v>
      </c>
      <c r="I4" s="95">
        <v>0.31518020532471813</v>
      </c>
      <c r="J4" s="95">
        <v>3.9512092528437168E-2</v>
      </c>
      <c r="K4" s="95">
        <v>0.19724445297772472</v>
      </c>
      <c r="L4" s="95">
        <v>8.2387853143251477E-2</v>
      </c>
      <c r="M4" s="95">
        <v>1.4382874151452256E-2</v>
      </c>
      <c r="N4" s="95">
        <v>9.911776738303639E-2</v>
      </c>
      <c r="O4" s="95">
        <v>5.9191210617859348E-2</v>
      </c>
      <c r="P4" s="95">
        <v>0.05</v>
      </c>
      <c r="Q4" s="95">
        <v>7.0000000000000007E-2</v>
      </c>
      <c r="R4" s="95">
        <v>7.0000000000000007E-2</v>
      </c>
      <c r="S4" s="95">
        <f>AVERAGE(C4:R4)</f>
        <v>8.5993659520765847E-2</v>
      </c>
    </row>
    <row r="5" spans="1:19">
      <c r="B5" s="71" t="s">
        <v>74</v>
      </c>
      <c r="C5" s="95">
        <v>3.5853374167758166E-3</v>
      </c>
      <c r="D5" s="95">
        <v>5.3304762160965593E-4</v>
      </c>
      <c r="E5" s="95">
        <v>6.8104685398069032E-3</v>
      </c>
      <c r="F5" s="95">
        <v>1.56528929075926E-2</v>
      </c>
      <c r="G5" s="95">
        <v>1.072597633421129E-2</v>
      </c>
      <c r="H5" s="95">
        <v>5.6931440886081918E-3</v>
      </c>
      <c r="I5" s="95">
        <v>7.9363560159470721E-3</v>
      </c>
      <c r="J5" s="95">
        <v>2.699092647312093E-2</v>
      </c>
      <c r="K5" s="95">
        <v>4.1623618495410249E-2</v>
      </c>
      <c r="L5" s="95">
        <v>9.8450855695046083E-3</v>
      </c>
      <c r="M5" s="95">
        <v>3.2719040411941015E-3</v>
      </c>
      <c r="N5" s="95">
        <v>1.6888618645300834E-3</v>
      </c>
      <c r="O5" s="95">
        <v>8.6274400885079511E-3</v>
      </c>
      <c r="P5" s="95">
        <v>2.4569997103877526E-3</v>
      </c>
      <c r="Q5" s="95">
        <v>3.0137941392946767E-3</v>
      </c>
      <c r="R5" s="95">
        <v>1.9455740014744556E-3</v>
      </c>
      <c r="S5" s="95">
        <f>(SUM(C6:R6)/16)^0.5</f>
        <v>1.4097507224758223E-2</v>
      </c>
    </row>
    <row r="6" spans="1:19">
      <c r="B6" s="71" t="s">
        <v>145</v>
      </c>
      <c r="C6" s="95">
        <f>C5^2</f>
        <v>1.2854644392132686E-5</v>
      </c>
      <c r="D6" s="95">
        <f t="shared" ref="D6:R6" si="0">D5^2</f>
        <v>2.8413976690371094E-7</v>
      </c>
      <c r="E6" s="95">
        <f t="shared" si="0"/>
        <v>4.6382481731699572E-5</v>
      </c>
      <c r="F6" s="95">
        <f t="shared" si="0"/>
        <v>2.4501305637656274E-4</v>
      </c>
      <c r="G6" s="95">
        <f t="shared" si="0"/>
        <v>1.1504656832206067E-4</v>
      </c>
      <c r="H6" s="95">
        <f t="shared" si="0"/>
        <v>3.2411889613654402E-5</v>
      </c>
      <c r="I6" s="95">
        <f t="shared" si="0"/>
        <v>6.2985746811859282E-5</v>
      </c>
      <c r="J6" s="95">
        <f t="shared" si="0"/>
        <v>7.2851011187742023E-4</v>
      </c>
      <c r="K6" s="95">
        <f t="shared" si="0"/>
        <v>1.7325256166514581E-3</v>
      </c>
      <c r="L6" s="95">
        <f t="shared" si="0"/>
        <v>9.6925709870867882E-5</v>
      </c>
      <c r="M6" s="95">
        <f t="shared" si="0"/>
        <v>1.0705356054782292E-5</v>
      </c>
      <c r="N6" s="95">
        <f t="shared" si="0"/>
        <v>2.8522543974640299E-6</v>
      </c>
      <c r="O6" s="95">
        <f t="shared" si="0"/>
        <v>7.4432722480794085E-5</v>
      </c>
      <c r="P6" s="95">
        <f t="shared" si="0"/>
        <v>6.0368475768455E-6</v>
      </c>
      <c r="Q6" s="95">
        <f t="shared" si="0"/>
        <v>9.0829551140469414E-6</v>
      </c>
      <c r="R6" s="95">
        <f t="shared" si="0"/>
        <v>3.7852581952133249E-6</v>
      </c>
      <c r="S6" s="95"/>
    </row>
    <row r="7" spans="1:19">
      <c r="A7" s="71" t="s">
        <v>2</v>
      </c>
      <c r="B7" s="71" t="s">
        <v>139</v>
      </c>
      <c r="C7" s="95">
        <v>0.25401994467726141</v>
      </c>
      <c r="D7" s="95">
        <v>1.9384156834677466E-2</v>
      </c>
      <c r="E7" s="95">
        <v>1.2773849078887354E-3</v>
      </c>
      <c r="F7" s="95">
        <v>8.9567006715892458E-3</v>
      </c>
      <c r="G7" s="95">
        <v>6.1958381909709087E-3</v>
      </c>
      <c r="H7" s="95">
        <v>3.2237470580605302E-3</v>
      </c>
      <c r="I7" s="95">
        <v>2.7724330543157736E-2</v>
      </c>
      <c r="J7" s="95">
        <v>1.3062457190776913E-2</v>
      </c>
      <c r="K7" s="95">
        <v>0.34495472480080086</v>
      </c>
      <c r="L7" s="95">
        <v>8.8448892653547918E-3</v>
      </c>
      <c r="M7" s="95">
        <v>5.9208653190089069E-3</v>
      </c>
      <c r="N7" s="95">
        <v>7.7812778148001489E-3</v>
      </c>
      <c r="O7" s="95">
        <v>7.4263625210297278E-3</v>
      </c>
      <c r="P7" s="95">
        <v>6.9999999999999999E-4</v>
      </c>
      <c r="Q7" s="95">
        <v>-6.9999999999999999E-4</v>
      </c>
      <c r="R7" s="95">
        <v>2.2704366889732862E-3</v>
      </c>
      <c r="S7" s="95">
        <f>AVERAGE(C7:R7)</f>
        <v>4.4440194780271926E-2</v>
      </c>
    </row>
    <row r="8" spans="1:19">
      <c r="B8" s="71" t="s">
        <v>74</v>
      </c>
      <c r="C8" s="95">
        <v>1.2318791507670099E-2</v>
      </c>
      <c r="D8" s="95">
        <v>5.0222919933890289E-3</v>
      </c>
      <c r="E8" s="95">
        <v>1.1001804330488462E-3</v>
      </c>
      <c r="F8" s="95">
        <v>2.6175729442255769E-3</v>
      </c>
      <c r="G8" s="95">
        <v>3.8580351266193848E-3</v>
      </c>
      <c r="H8" s="95">
        <v>1.016519910806375E-3</v>
      </c>
      <c r="I8" s="95">
        <v>2.3813941801528151E-2</v>
      </c>
      <c r="J8" s="95">
        <v>1.1854937568759613E-3</v>
      </c>
      <c r="K8" s="95">
        <v>6.555579921106878E-3</v>
      </c>
      <c r="L8" s="95">
        <v>2.9399234324045472E-3</v>
      </c>
      <c r="M8" s="95">
        <v>9.5673698127142709E-4</v>
      </c>
      <c r="N8" s="95">
        <v>7.5262362583755171E-4</v>
      </c>
      <c r="O8" s="95">
        <v>1.1080500945886578E-3</v>
      </c>
      <c r="P8" s="95">
        <v>1.7618303918909089E-4</v>
      </c>
      <c r="Q8" s="95">
        <v>3.9960437324901819E-4</v>
      </c>
      <c r="R8" s="95">
        <v>6.2103126374474604E-5</v>
      </c>
      <c r="S8" s="95">
        <f>(SUM(C9:R9)/16)^0.5</f>
        <v>7.1762978587244491E-3</v>
      </c>
    </row>
    <row r="9" spans="1:19">
      <c r="B9" s="71" t="s">
        <v>145</v>
      </c>
      <c r="C9" s="71">
        <f>C8^2</f>
        <v>1.5175262420944496E-4</v>
      </c>
      <c r="D9" s="71">
        <f t="shared" ref="D9:R9" si="1">D8^2</f>
        <v>2.5223416866859546E-5</v>
      </c>
      <c r="E9" s="71">
        <f t="shared" si="1"/>
        <v>1.2103969852635467E-6</v>
      </c>
      <c r="F9" s="71">
        <f t="shared" si="1"/>
        <v>6.8516881183417552E-6</v>
      </c>
      <c r="G9" s="71">
        <f t="shared" si="1"/>
        <v>1.4884435038229052E-5</v>
      </c>
      <c r="H9" s="71">
        <f t="shared" si="1"/>
        <v>1.0333127290658005E-6</v>
      </c>
      <c r="I9" s="71">
        <f t="shared" si="1"/>
        <v>5.6710382412656984E-4</v>
      </c>
      <c r="J9" s="71">
        <f t="shared" si="1"/>
        <v>1.405395447591881E-6</v>
      </c>
      <c r="K9" s="71">
        <f t="shared" si="1"/>
        <v>4.2975628102019663E-5</v>
      </c>
      <c r="L9" s="71">
        <f t="shared" si="1"/>
        <v>8.6431497884013344E-6</v>
      </c>
      <c r="M9" s="71">
        <f t="shared" si="1"/>
        <v>9.1534565133236308E-7</v>
      </c>
      <c r="N9" s="71">
        <f t="shared" si="1"/>
        <v>5.6644232216886299E-7</v>
      </c>
      <c r="O9" s="71">
        <f t="shared" si="1"/>
        <v>1.2277750121179336E-6</v>
      </c>
      <c r="P9" s="71">
        <f t="shared" si="1"/>
        <v>3.1040463297904734E-8</v>
      </c>
      <c r="Q9" s="71">
        <f t="shared" si="1"/>
        <v>1.5968365511974064E-7</v>
      </c>
      <c r="R9" s="71">
        <f t="shared" si="1"/>
        <v>3.8567983054839631E-9</v>
      </c>
    </row>
    <row r="10" spans="1:19">
      <c r="A10" s="78" t="s">
        <v>140</v>
      </c>
      <c r="C10" s="71" t="s">
        <v>146</v>
      </c>
    </row>
    <row r="11" spans="1:19">
      <c r="C11" s="72" t="s">
        <v>141</v>
      </c>
      <c r="D11" s="72" t="s">
        <v>142</v>
      </c>
      <c r="E11" s="72" t="s">
        <v>143</v>
      </c>
      <c r="F11" s="72" t="s">
        <v>144</v>
      </c>
      <c r="G11" s="72">
        <v>43637</v>
      </c>
      <c r="H11" s="72">
        <v>43670</v>
      </c>
      <c r="I11" s="72">
        <v>43696</v>
      </c>
      <c r="J11" s="72">
        <v>43727</v>
      </c>
      <c r="K11" s="72">
        <v>43757</v>
      </c>
      <c r="L11" s="72">
        <v>43790</v>
      </c>
      <c r="M11" s="72">
        <v>43810</v>
      </c>
      <c r="N11" s="72">
        <v>43850</v>
      </c>
      <c r="O11" s="72">
        <v>43886</v>
      </c>
    </row>
    <row r="12" spans="1:19">
      <c r="A12" s="71" t="s">
        <v>5</v>
      </c>
      <c r="B12" s="71" t="s">
        <v>139</v>
      </c>
      <c r="C12" s="95">
        <v>4.8294655700583819E-2</v>
      </c>
      <c r="D12" s="95">
        <v>6.4163022851177226E-2</v>
      </c>
      <c r="E12" s="95">
        <v>2.7480605424997192E-2</v>
      </c>
      <c r="F12" s="95">
        <v>1.0916787780869439E-2</v>
      </c>
      <c r="G12" s="95">
        <v>2.709011202103909E-2</v>
      </c>
      <c r="H12" s="95">
        <v>4.7299296482246872E-2</v>
      </c>
      <c r="I12" s="95">
        <v>-5.8280534060254161E-3</v>
      </c>
      <c r="J12" s="95">
        <v>1.7198756863704083E-2</v>
      </c>
      <c r="K12" s="95">
        <v>-2.3543644654034617E-2</v>
      </c>
      <c r="L12" s="95">
        <v>-4.6378346847282551E-2</v>
      </c>
      <c r="M12" s="95">
        <v>-1.5172617663315877E-2</v>
      </c>
      <c r="N12" s="95">
        <v>-1.8849226380270485E-2</v>
      </c>
      <c r="O12" s="95">
        <v>-1.9527724988329493E-3</v>
      </c>
      <c r="S12" s="71">
        <f>AVERAGE(C12:O12)</f>
        <v>1.0055275051911988E-2</v>
      </c>
    </row>
    <row r="13" spans="1:19">
      <c r="B13" s="71" t="s">
        <v>74</v>
      </c>
      <c r="C13" s="95">
        <v>4.983952311407483E-2</v>
      </c>
      <c r="D13" s="95">
        <v>5.7158909647816114E-2</v>
      </c>
      <c r="E13" s="95">
        <v>5.8370062777383207E-2</v>
      </c>
      <c r="F13" s="95">
        <v>1.9895613081680519E-2</v>
      </c>
      <c r="G13" s="95">
        <v>8.7085181545522878E-3</v>
      </c>
      <c r="H13" s="95">
        <v>5.2698392006466539E-2</v>
      </c>
      <c r="I13" s="95">
        <v>8.9633364574568455E-2</v>
      </c>
      <c r="J13" s="95">
        <v>1.9597937948787163E-2</v>
      </c>
      <c r="K13" s="95">
        <v>7.4227670841962287E-2</v>
      </c>
      <c r="L13" s="95">
        <v>5.4399407567888178E-2</v>
      </c>
      <c r="M13" s="95">
        <v>1.6649993760057213E-2</v>
      </c>
      <c r="N13" s="95">
        <v>2.6298443212991414E-2</v>
      </c>
      <c r="O13" s="95">
        <v>2.9261059503921254E-2</v>
      </c>
      <c r="S13" s="95"/>
    </row>
    <row r="14" spans="1:19">
      <c r="A14" s="71" t="s">
        <v>2</v>
      </c>
      <c r="B14" s="71" t="s">
        <v>139</v>
      </c>
      <c r="C14" s="95">
        <v>2.4147327850291909E-2</v>
      </c>
      <c r="D14" s="95">
        <v>5.2934493852221202E-2</v>
      </c>
      <c r="E14" s="95">
        <v>0.11701419084192349</v>
      </c>
      <c r="F14" s="95">
        <v>4.7566003902359676E-2</v>
      </c>
      <c r="G14" s="95">
        <v>6.8314195531315958E-2</v>
      </c>
      <c r="H14" s="95">
        <v>0.1274773722265434</v>
      </c>
      <c r="I14" s="95">
        <v>5.3035285994831226E-2</v>
      </c>
      <c r="J14" s="95">
        <v>9.2517450715097829E-2</v>
      </c>
      <c r="K14" s="95">
        <v>0.10504087614876981</v>
      </c>
      <c r="L14" s="95">
        <v>8.4213314012170942E-2</v>
      </c>
      <c r="M14" s="95">
        <v>4.4197625817420455E-2</v>
      </c>
      <c r="N14" s="95">
        <v>4.8643164852310919E-3</v>
      </c>
      <c r="O14" s="95">
        <v>-2.2945076861287161E-2</v>
      </c>
      <c r="S14" s="71">
        <f>AVERAGE(C14:O14)</f>
        <v>6.1413644347453063E-2</v>
      </c>
    </row>
    <row r="15" spans="1:19">
      <c r="B15" s="71" t="s">
        <v>74</v>
      </c>
      <c r="C15" s="95">
        <v>5.9148631884912766E-3</v>
      </c>
      <c r="D15" s="95">
        <v>1.9348901849552763E-2</v>
      </c>
      <c r="E15" s="95">
        <v>2.9660270818817554E-2</v>
      </c>
      <c r="F15" s="95">
        <v>6.9012998219639868E-2</v>
      </c>
      <c r="G15" s="95">
        <v>4.3944303201890342E-2</v>
      </c>
      <c r="H15" s="95">
        <v>8.7098013986767857E-3</v>
      </c>
      <c r="I15" s="95">
        <v>5.3410752321412854E-2</v>
      </c>
      <c r="J15" s="95">
        <v>4.8809041989564809E-2</v>
      </c>
      <c r="K15" s="95">
        <v>4.8475422355119528E-2</v>
      </c>
      <c r="L15" s="95">
        <v>5.3087495061657781E-2</v>
      </c>
      <c r="M15" s="95">
        <v>2.3287462951681503E-2</v>
      </c>
      <c r="N15" s="95">
        <v>1.4457198138124953E-2</v>
      </c>
      <c r="O15" s="95">
        <v>7.2258354780080566E-2</v>
      </c>
      <c r="S15" s="9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C77E-424C-4DFA-ADD0-1F23648E4CB1}">
  <dimension ref="A1:U46"/>
  <sheetViews>
    <sheetView topLeftCell="G1" zoomScale="115" zoomScaleNormal="115" workbookViewId="0">
      <selection activeCell="I18" sqref="I18"/>
    </sheetView>
  </sheetViews>
  <sheetFormatPr defaultColWidth="9.33203125" defaultRowHeight="14.4"/>
  <cols>
    <col min="1" max="1" width="9.33203125" style="2"/>
    <col min="2" max="2" width="53.5546875" style="2" customWidth="1"/>
    <col min="3" max="3" width="9.33203125" style="2"/>
    <col min="4" max="4" width="15.33203125" style="2" customWidth="1"/>
    <col min="5" max="13" width="9.33203125" style="2"/>
    <col min="14" max="15" width="26.109375" style="2" customWidth="1"/>
    <col min="16" max="17" width="9.33203125" style="2"/>
    <col min="18" max="18" width="15.88671875" style="2" customWidth="1"/>
    <col min="19" max="19" width="16.33203125" style="2" customWidth="1"/>
    <col min="20" max="16384" width="9.33203125" style="2"/>
  </cols>
  <sheetData>
    <row r="1" spans="1:21" ht="15.6">
      <c r="A1" s="158" t="s">
        <v>198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82"/>
      <c r="P1" s="182"/>
      <c r="Q1" s="182"/>
      <c r="R1" s="182"/>
      <c r="S1" s="157"/>
      <c r="T1" s="157"/>
      <c r="U1" s="157"/>
    </row>
    <row r="2" spans="1:21">
      <c r="A2" s="157" t="s">
        <v>267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82"/>
      <c r="P2" s="183"/>
      <c r="Q2" s="182"/>
      <c r="R2" s="182"/>
      <c r="S2" s="157"/>
      <c r="T2" s="157"/>
      <c r="U2" s="157"/>
    </row>
    <row r="3" spans="1:21">
      <c r="A3" s="157"/>
      <c r="B3" s="157"/>
      <c r="C3" s="157" t="s">
        <v>181</v>
      </c>
      <c r="D3" s="157"/>
      <c r="E3" s="157"/>
      <c r="F3" s="157"/>
      <c r="G3" s="157"/>
      <c r="H3" s="157" t="s">
        <v>182</v>
      </c>
      <c r="I3" s="157" t="s">
        <v>127</v>
      </c>
      <c r="J3" s="157" t="s">
        <v>183</v>
      </c>
      <c r="K3" s="157"/>
      <c r="L3" s="157"/>
      <c r="M3" s="157" t="s">
        <v>269</v>
      </c>
      <c r="N3" s="157"/>
      <c r="O3" s="182"/>
      <c r="P3" s="182"/>
      <c r="Q3" s="182"/>
      <c r="R3" s="182"/>
      <c r="S3" s="157"/>
      <c r="T3" s="157"/>
      <c r="U3" s="157"/>
    </row>
    <row r="4" spans="1:21">
      <c r="A4" s="157"/>
      <c r="B4" s="157"/>
      <c r="C4" s="157" t="s">
        <v>69</v>
      </c>
      <c r="D4" s="157" t="s">
        <v>184</v>
      </c>
      <c r="E4" s="157" t="s">
        <v>185</v>
      </c>
      <c r="F4" s="157" t="s">
        <v>186</v>
      </c>
      <c r="G4" s="157"/>
      <c r="H4" s="157"/>
      <c r="I4" s="157"/>
      <c r="J4" s="157"/>
      <c r="K4" s="157"/>
      <c r="L4" s="157"/>
      <c r="M4" s="157"/>
      <c r="N4" s="157"/>
      <c r="O4" s="157" t="s">
        <v>285</v>
      </c>
      <c r="P4" s="157" t="s">
        <v>69</v>
      </c>
      <c r="Q4" s="157" t="s">
        <v>199</v>
      </c>
      <c r="R4" s="157" t="s">
        <v>184</v>
      </c>
      <c r="S4" s="157" t="s">
        <v>185</v>
      </c>
      <c r="T4" s="157"/>
      <c r="U4" s="157"/>
    </row>
    <row r="5" spans="1:21">
      <c r="A5" s="157"/>
      <c r="B5" s="157"/>
      <c r="C5" s="157"/>
      <c r="D5" s="157"/>
      <c r="E5" s="157"/>
      <c r="F5" s="157" t="s">
        <v>187</v>
      </c>
      <c r="G5" s="157" t="s">
        <v>188</v>
      </c>
      <c r="H5" s="157"/>
      <c r="I5" s="157"/>
      <c r="J5" s="157"/>
      <c r="K5" s="157"/>
      <c r="L5" s="157"/>
      <c r="M5" s="157" t="s">
        <v>189</v>
      </c>
      <c r="N5" s="157" t="s">
        <v>200</v>
      </c>
      <c r="O5" s="157" t="s">
        <v>282</v>
      </c>
      <c r="P5" s="157">
        <v>0.21079999999999999</v>
      </c>
      <c r="Q5" s="157">
        <v>34</v>
      </c>
      <c r="R5" s="157">
        <v>4.3240000000000001E-2</v>
      </c>
      <c r="S5" s="157">
        <v>7.4200000000000004E-3</v>
      </c>
      <c r="T5" s="157"/>
      <c r="U5" s="157"/>
    </row>
    <row r="6" spans="1:21">
      <c r="A6" s="157" t="s">
        <v>189</v>
      </c>
      <c r="B6" s="157" t="s">
        <v>201</v>
      </c>
      <c r="C6" s="157">
        <v>3.2590000000000001E-2</v>
      </c>
      <c r="D6" s="157">
        <v>4.7120000000000002E-2</v>
      </c>
      <c r="E6" s="157">
        <v>8.0800000000000004E-3</v>
      </c>
      <c r="F6" s="157">
        <v>1.6150000000000001E-2</v>
      </c>
      <c r="G6" s="157">
        <v>4.9029999999999997E-2</v>
      </c>
      <c r="H6" s="157">
        <v>4.0330000000000004</v>
      </c>
      <c r="I6" s="157">
        <v>33</v>
      </c>
      <c r="J6" s="157">
        <v>0</v>
      </c>
      <c r="K6" s="157"/>
      <c r="L6" s="157"/>
      <c r="M6" s="157"/>
      <c r="N6" s="157" t="s">
        <v>202</v>
      </c>
      <c r="O6" s="157" t="s">
        <v>282</v>
      </c>
      <c r="P6" s="157">
        <v>0.1782</v>
      </c>
      <c r="Q6" s="157">
        <v>34</v>
      </c>
      <c r="R6" s="157">
        <v>6.3240000000000005E-2</v>
      </c>
      <c r="S6" s="157">
        <v>1.0840000000000001E-2</v>
      </c>
      <c r="T6" s="157"/>
      <c r="U6" s="157"/>
    </row>
    <row r="7" spans="1:21">
      <c r="A7" s="157" t="s">
        <v>190</v>
      </c>
      <c r="B7" s="157" t="s">
        <v>203</v>
      </c>
      <c r="C7" s="157">
        <v>-4.8320000000000002E-2</v>
      </c>
      <c r="D7" s="157">
        <v>3.4470000000000001E-2</v>
      </c>
      <c r="E7" s="157">
        <v>5.9100000000000003E-3</v>
      </c>
      <c r="F7" s="157">
        <v>-6.0350000000000001E-2</v>
      </c>
      <c r="G7" s="157">
        <v>-3.6290000000000003E-2</v>
      </c>
      <c r="H7" s="157">
        <v>-8.173</v>
      </c>
      <c r="I7" s="157">
        <v>33</v>
      </c>
      <c r="J7" s="157">
        <v>0</v>
      </c>
      <c r="K7" s="157"/>
      <c r="L7" s="157"/>
      <c r="M7" s="157" t="s">
        <v>190</v>
      </c>
      <c r="N7" s="157" t="s">
        <v>204</v>
      </c>
      <c r="O7" s="157" t="s">
        <v>282</v>
      </c>
      <c r="P7" s="157">
        <v>0.1278</v>
      </c>
      <c r="Q7" s="157">
        <v>34</v>
      </c>
      <c r="R7" s="157">
        <v>2.452E-2</v>
      </c>
      <c r="S7" s="157">
        <v>4.2100000000000002E-3</v>
      </c>
      <c r="T7" s="157"/>
      <c r="U7" s="157"/>
    </row>
    <row r="8" spans="1:21">
      <c r="A8" s="157" t="s">
        <v>191</v>
      </c>
      <c r="B8" s="157" t="s">
        <v>268</v>
      </c>
      <c r="C8" s="157">
        <v>-0.10206</v>
      </c>
      <c r="D8" s="157">
        <v>4.8559999999999999E-2</v>
      </c>
      <c r="E8" s="157">
        <v>8.3300000000000006E-3</v>
      </c>
      <c r="F8" s="157">
        <v>-0.11899999999999999</v>
      </c>
      <c r="G8" s="157">
        <v>-8.5110000000000005E-2</v>
      </c>
      <c r="H8" s="157">
        <v>-12.254</v>
      </c>
      <c r="I8" s="157">
        <v>33</v>
      </c>
      <c r="J8" s="157">
        <v>0</v>
      </c>
      <c r="K8" s="157"/>
      <c r="L8" s="157"/>
      <c r="M8" s="157"/>
      <c r="N8" s="157" t="s">
        <v>205</v>
      </c>
      <c r="O8" s="157" t="s">
        <v>282</v>
      </c>
      <c r="P8" s="157">
        <v>0.17610000000000001</v>
      </c>
      <c r="Q8" s="157">
        <v>34</v>
      </c>
      <c r="R8" s="157">
        <v>4.7070000000000001E-2</v>
      </c>
      <c r="S8" s="157">
        <v>8.0700000000000008E-3</v>
      </c>
      <c r="T8" s="157"/>
      <c r="U8" s="157"/>
    </row>
    <row r="9" spans="1:21">
      <c r="A9" s="157" t="s">
        <v>192</v>
      </c>
      <c r="B9" s="157" t="s">
        <v>206</v>
      </c>
      <c r="C9" s="157">
        <v>3.8240000000000003E-2</v>
      </c>
      <c r="D9" s="157">
        <v>0.2387</v>
      </c>
      <c r="E9" s="157">
        <v>4.0939999999999997E-2</v>
      </c>
      <c r="F9" s="157">
        <v>-4.505E-2</v>
      </c>
      <c r="G9" s="157">
        <v>0.12152</v>
      </c>
      <c r="H9" s="157">
        <v>0.93400000000000005</v>
      </c>
      <c r="I9" s="157">
        <v>33</v>
      </c>
      <c r="J9" s="157">
        <v>0.35699999999999998</v>
      </c>
      <c r="K9" s="157"/>
      <c r="L9" s="157"/>
      <c r="M9" s="157" t="s">
        <v>191</v>
      </c>
      <c r="N9" s="157" t="s">
        <v>207</v>
      </c>
      <c r="O9" s="157" t="s">
        <v>282</v>
      </c>
      <c r="P9" s="157">
        <v>0.13039999999999999</v>
      </c>
      <c r="Q9" s="157">
        <v>34</v>
      </c>
      <c r="R9" s="157">
        <v>3.4599999999999999E-2</v>
      </c>
      <c r="S9" s="157">
        <v>5.9300000000000004E-3</v>
      </c>
      <c r="T9" s="157"/>
      <c r="U9" s="157"/>
    </row>
    <row r="10" spans="1:21">
      <c r="A10" s="157" t="s">
        <v>193</v>
      </c>
      <c r="B10" s="157" t="s">
        <v>208</v>
      </c>
      <c r="C10" s="157">
        <v>-0.26765</v>
      </c>
      <c r="D10" s="157">
        <v>0.49830999999999998</v>
      </c>
      <c r="E10" s="157">
        <v>8.5459999999999994E-2</v>
      </c>
      <c r="F10" s="157">
        <v>-0.44152000000000002</v>
      </c>
      <c r="G10" s="157">
        <v>-9.3780000000000002E-2</v>
      </c>
      <c r="H10" s="157">
        <v>-3.1320000000000001</v>
      </c>
      <c r="I10" s="157">
        <v>33</v>
      </c>
      <c r="J10" s="157">
        <v>4.0000000000000001E-3</v>
      </c>
      <c r="K10" s="157"/>
      <c r="L10" s="157"/>
      <c r="M10" s="157"/>
      <c r="N10" s="157" t="s">
        <v>209</v>
      </c>
      <c r="O10" s="157" t="s">
        <v>282</v>
      </c>
      <c r="P10" s="157">
        <v>0.2324</v>
      </c>
      <c r="Q10" s="157">
        <v>34</v>
      </c>
      <c r="R10" s="157">
        <v>7.596E-2</v>
      </c>
      <c r="S10" s="157">
        <v>1.303E-2</v>
      </c>
      <c r="T10" s="157"/>
      <c r="U10" s="157"/>
    </row>
    <row r="11" spans="1:21">
      <c r="A11" s="157" t="s">
        <v>194</v>
      </c>
      <c r="B11" s="157" t="s">
        <v>210</v>
      </c>
      <c r="C11" s="157">
        <v>-1.176E-2</v>
      </c>
      <c r="D11" s="157">
        <v>0.47849000000000003</v>
      </c>
      <c r="E11" s="157">
        <v>8.2059999999999994E-2</v>
      </c>
      <c r="F11" s="157">
        <v>-0.17871999999999999</v>
      </c>
      <c r="G11" s="157">
        <v>0.15518999999999999</v>
      </c>
      <c r="H11" s="157">
        <v>-0.14299999999999999</v>
      </c>
      <c r="I11" s="157">
        <v>33</v>
      </c>
      <c r="J11" s="157">
        <v>0.88700000000000001</v>
      </c>
      <c r="K11" s="157"/>
      <c r="L11" s="157"/>
      <c r="M11" s="157" t="s">
        <v>192</v>
      </c>
      <c r="N11" s="157" t="s">
        <v>211</v>
      </c>
      <c r="O11" s="157" t="s">
        <v>283</v>
      </c>
      <c r="P11" s="157">
        <v>11.094099999999999</v>
      </c>
      <c r="Q11" s="157">
        <v>34</v>
      </c>
      <c r="R11" s="157">
        <v>4.9448400000000001</v>
      </c>
      <c r="S11" s="157">
        <v>0.84802999999999995</v>
      </c>
      <c r="T11" s="157"/>
      <c r="U11" s="157"/>
    </row>
    <row r="12" spans="1:21">
      <c r="A12" s="157" t="s">
        <v>195</v>
      </c>
      <c r="B12" s="157" t="s">
        <v>212</v>
      </c>
      <c r="C12" s="157">
        <v>2.5264700000000002</v>
      </c>
      <c r="D12" s="157">
        <v>9.6640300000000003</v>
      </c>
      <c r="E12" s="157">
        <v>1.65737</v>
      </c>
      <c r="F12" s="157">
        <v>-0.84547000000000005</v>
      </c>
      <c r="G12" s="157">
        <v>5.8984100000000002</v>
      </c>
      <c r="H12" s="157">
        <v>1.524</v>
      </c>
      <c r="I12" s="157">
        <v>33</v>
      </c>
      <c r="J12" s="157">
        <v>0.13700000000000001</v>
      </c>
      <c r="K12" s="157"/>
      <c r="L12" s="157"/>
      <c r="M12" s="157"/>
      <c r="N12" s="157" t="s">
        <v>213</v>
      </c>
      <c r="O12" s="157" t="s">
        <v>283</v>
      </c>
      <c r="P12" s="157">
        <v>11.055899999999999</v>
      </c>
      <c r="Q12" s="157">
        <v>34</v>
      </c>
      <c r="R12" s="157">
        <v>5.0007999999999999</v>
      </c>
      <c r="S12" s="157">
        <v>0.85763</v>
      </c>
      <c r="T12" s="157"/>
      <c r="U12" s="157"/>
    </row>
    <row r="13" spans="1:21">
      <c r="A13" s="157" t="s">
        <v>196</v>
      </c>
      <c r="B13" s="157" t="s">
        <v>214</v>
      </c>
      <c r="C13" s="157">
        <v>4.5088200000000001</v>
      </c>
      <c r="D13" s="157">
        <v>6.8915600000000001</v>
      </c>
      <c r="E13" s="157">
        <v>1.1818900000000001</v>
      </c>
      <c r="F13" s="157">
        <v>2.10425</v>
      </c>
      <c r="G13" s="157">
        <v>6.9134000000000002</v>
      </c>
      <c r="H13" s="157">
        <v>3.8149999999999999</v>
      </c>
      <c r="I13" s="157">
        <v>33</v>
      </c>
      <c r="J13" s="157">
        <v>1E-3</v>
      </c>
      <c r="K13" s="157"/>
      <c r="L13" s="157"/>
      <c r="M13" s="157" t="s">
        <v>193</v>
      </c>
      <c r="N13" s="157" t="s">
        <v>215</v>
      </c>
      <c r="O13" s="157" t="s">
        <v>283</v>
      </c>
      <c r="P13" s="157">
        <v>10.926500000000001</v>
      </c>
      <c r="Q13" s="157">
        <v>34</v>
      </c>
      <c r="R13" s="157">
        <v>5.0838599999999996</v>
      </c>
      <c r="S13" s="157">
        <v>0.87187000000000003</v>
      </c>
      <c r="T13" s="157"/>
      <c r="U13" s="157"/>
    </row>
    <row r="14" spans="1:21">
      <c r="A14" s="157" t="s">
        <v>197</v>
      </c>
      <c r="B14" s="157" t="s">
        <v>216</v>
      </c>
      <c r="C14" s="157">
        <v>-8.6941199999999998</v>
      </c>
      <c r="D14" s="157">
        <v>10.367459999999999</v>
      </c>
      <c r="E14" s="157">
        <v>1.778</v>
      </c>
      <c r="F14" s="157">
        <v>-12.311500000000001</v>
      </c>
      <c r="G14" s="157">
        <v>-5.07674</v>
      </c>
      <c r="H14" s="157">
        <v>-4.8899999999999997</v>
      </c>
      <c r="I14" s="157">
        <v>33</v>
      </c>
      <c r="J14" s="157">
        <v>0</v>
      </c>
      <c r="K14" s="157"/>
      <c r="L14" s="157"/>
      <c r="M14" s="157"/>
      <c r="N14" s="157" t="s">
        <v>217</v>
      </c>
      <c r="O14" s="157" t="s">
        <v>283</v>
      </c>
      <c r="P14" s="157">
        <v>11.194100000000001</v>
      </c>
      <c r="Q14" s="157">
        <v>34</v>
      </c>
      <c r="R14" s="157">
        <v>5.1977799999999998</v>
      </c>
      <c r="S14" s="157">
        <v>0.89141000000000004</v>
      </c>
      <c r="T14" s="157"/>
      <c r="U14" s="157"/>
    </row>
    <row r="15" spans="1:2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 t="s">
        <v>194</v>
      </c>
      <c r="N15" s="157" t="s">
        <v>218</v>
      </c>
      <c r="O15" s="157" t="s">
        <v>283</v>
      </c>
      <c r="P15" s="157">
        <v>10.6059</v>
      </c>
      <c r="Q15" s="157">
        <v>34</v>
      </c>
      <c r="R15" s="157">
        <v>5.3161199999999997</v>
      </c>
      <c r="S15" s="157">
        <v>0.91171000000000002</v>
      </c>
      <c r="T15" s="157"/>
      <c r="U15" s="157"/>
    </row>
    <row r="16" spans="1:2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 t="s">
        <v>219</v>
      </c>
      <c r="O16" s="157" t="s">
        <v>283</v>
      </c>
      <c r="P16" s="157">
        <v>10.617599999999999</v>
      </c>
      <c r="Q16" s="157">
        <v>34</v>
      </c>
      <c r="R16" s="157">
        <v>5.3863200000000004</v>
      </c>
      <c r="S16" s="157">
        <v>0.92374999999999996</v>
      </c>
      <c r="T16" s="157"/>
      <c r="U16" s="157"/>
    </row>
    <row r="17" spans="1:2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 t="s">
        <v>195</v>
      </c>
      <c r="N17" s="157" t="s">
        <v>220</v>
      </c>
      <c r="O17" s="157" t="s">
        <v>284</v>
      </c>
      <c r="P17" s="157">
        <v>14.65</v>
      </c>
      <c r="Q17" s="157">
        <v>34</v>
      </c>
      <c r="R17" s="157">
        <v>6.7869000000000002</v>
      </c>
      <c r="S17" s="157">
        <v>1.16394</v>
      </c>
      <c r="T17" s="157"/>
      <c r="U17" s="157"/>
    </row>
    <row r="18" spans="1:2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 t="s">
        <v>221</v>
      </c>
      <c r="O18" s="157" t="s">
        <v>284</v>
      </c>
      <c r="P18" s="157">
        <v>17.176500000000001</v>
      </c>
      <c r="Q18" s="157">
        <v>34</v>
      </c>
      <c r="R18" s="157">
        <v>13.888019999999999</v>
      </c>
      <c r="S18" s="157">
        <v>2.38178</v>
      </c>
      <c r="T18" s="157"/>
      <c r="U18" s="157"/>
    </row>
    <row r="19" spans="1:2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 t="s">
        <v>196</v>
      </c>
      <c r="N19" s="157" t="s">
        <v>222</v>
      </c>
      <c r="O19" s="157" t="s">
        <v>284</v>
      </c>
      <c r="P19" s="157">
        <v>10.9794</v>
      </c>
      <c r="Q19" s="157">
        <v>34</v>
      </c>
      <c r="R19" s="157">
        <v>7.8595199999999998</v>
      </c>
      <c r="S19" s="157">
        <v>1.3479000000000001</v>
      </c>
      <c r="T19" s="157"/>
      <c r="U19" s="157"/>
    </row>
    <row r="20" spans="1:2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 t="s">
        <v>223</v>
      </c>
      <c r="O20" s="157" t="s">
        <v>284</v>
      </c>
      <c r="P20" s="157">
        <v>6.4706000000000001</v>
      </c>
      <c r="Q20" s="157">
        <v>34</v>
      </c>
      <c r="R20" s="157">
        <v>4.1940499999999998</v>
      </c>
      <c r="S20" s="157">
        <v>0.71926999999999996</v>
      </c>
      <c r="T20" s="157"/>
      <c r="U20" s="157"/>
    </row>
    <row r="21" spans="1:2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 t="s">
        <v>197</v>
      </c>
      <c r="N21" s="157" t="s">
        <v>224</v>
      </c>
      <c r="O21" s="157" t="s">
        <v>284</v>
      </c>
      <c r="P21" s="157">
        <v>3.9235000000000002</v>
      </c>
      <c r="Q21" s="157">
        <v>34</v>
      </c>
      <c r="R21" s="157">
        <v>2.2761</v>
      </c>
      <c r="S21" s="157">
        <v>0.39034999999999997</v>
      </c>
      <c r="T21" s="157"/>
      <c r="U21" s="157"/>
    </row>
    <row r="22" spans="1:2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 t="s">
        <v>225</v>
      </c>
      <c r="O22" s="157" t="s">
        <v>284</v>
      </c>
      <c r="P22" s="157">
        <v>12.617599999999999</v>
      </c>
      <c r="Q22" s="157">
        <v>34</v>
      </c>
      <c r="R22" s="157">
        <v>11.41507</v>
      </c>
      <c r="S22" s="157">
        <v>1.95767</v>
      </c>
      <c r="T22" s="157"/>
      <c r="U22" s="157"/>
    </row>
    <row r="23" spans="1:2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:2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</row>
    <row r="34" spans="1:2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</row>
    <row r="35" spans="1:2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</row>
    <row r="37" spans="1:2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1:2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</row>
    <row r="39" spans="1:2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spans="1:2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</row>
    <row r="41" spans="1:2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</row>
    <row r="42" spans="1:2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</row>
    <row r="43" spans="1:2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</row>
    <row r="44" spans="1:2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</row>
    <row r="45" spans="1:2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</row>
    <row r="46" spans="1:2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5D7F-C4F9-45F3-8BF0-8B2DDC862605}">
  <dimension ref="A1:N42"/>
  <sheetViews>
    <sheetView workbookViewId="0">
      <pane ySplit="2" topLeftCell="A18" activePane="bottomLeft" state="frozen"/>
      <selection pane="bottomLeft" activeCell="I13" sqref="I13"/>
    </sheetView>
  </sheetViews>
  <sheetFormatPr defaultColWidth="9.33203125" defaultRowHeight="14.4"/>
  <cols>
    <col min="1" max="1" width="9.33203125" style="91"/>
    <col min="2" max="2" width="19.6640625" style="90" customWidth="1"/>
    <col min="3" max="3" width="23.88671875" style="91" customWidth="1"/>
    <col min="4" max="4" width="19.5546875" style="91" customWidth="1"/>
    <col min="5" max="5" width="15.44140625" style="91" customWidth="1"/>
    <col min="6" max="6" width="17.6640625" style="67" customWidth="1"/>
    <col min="7" max="16384" width="9.33203125" style="91"/>
  </cols>
  <sheetData>
    <row r="1" spans="1:14" s="109" customFormat="1" ht="21">
      <c r="A1" s="109" t="s">
        <v>178</v>
      </c>
      <c r="B1" s="110"/>
      <c r="F1" s="69"/>
    </row>
    <row r="2" spans="1:14">
      <c r="B2" s="90" t="s">
        <v>146</v>
      </c>
      <c r="C2" s="91" t="s">
        <v>165</v>
      </c>
      <c r="D2" s="92" t="s">
        <v>136</v>
      </c>
      <c r="E2" s="94" t="s">
        <v>137</v>
      </c>
      <c r="F2" s="94" t="s">
        <v>164</v>
      </c>
    </row>
    <row r="3" spans="1:14">
      <c r="B3" s="90">
        <v>43270</v>
      </c>
      <c r="C3" s="91" t="s">
        <v>110</v>
      </c>
      <c r="D3" s="92" t="s">
        <v>270</v>
      </c>
      <c r="E3" s="94" t="s">
        <v>270</v>
      </c>
      <c r="F3" s="94">
        <v>-29.532755999999999</v>
      </c>
      <c r="G3" s="159"/>
      <c r="H3" s="159"/>
      <c r="I3" s="159"/>
      <c r="J3" s="159"/>
      <c r="K3" s="159"/>
      <c r="L3" s="159"/>
      <c r="M3" s="159"/>
      <c r="N3" s="159"/>
    </row>
    <row r="4" spans="1:14">
      <c r="B4" s="90">
        <v>43270</v>
      </c>
      <c r="C4" s="91" t="s">
        <v>111</v>
      </c>
      <c r="D4" s="92" t="s">
        <v>270</v>
      </c>
      <c r="E4" s="94" t="s">
        <v>270</v>
      </c>
      <c r="F4" s="94">
        <v>-28.953955000000001</v>
      </c>
      <c r="G4" s="159"/>
      <c r="H4" s="159"/>
      <c r="I4" s="159"/>
      <c r="J4" s="159"/>
      <c r="K4" s="159"/>
      <c r="L4" s="159"/>
      <c r="M4" s="159"/>
      <c r="N4" s="159"/>
    </row>
    <row r="5" spans="1:14">
      <c r="B5" s="73">
        <v>43270</v>
      </c>
      <c r="C5" s="74" t="s">
        <v>231</v>
      </c>
      <c r="D5" s="92">
        <v>-9.8292435697278844</v>
      </c>
      <c r="E5" s="94">
        <v>-3.2539254070324644</v>
      </c>
      <c r="F5" s="68">
        <v>-23.935245999999999</v>
      </c>
      <c r="G5" s="159"/>
      <c r="H5" s="159"/>
      <c r="I5" s="159"/>
      <c r="J5" s="159"/>
      <c r="K5" s="159"/>
      <c r="L5" s="159"/>
      <c r="M5" s="159"/>
      <c r="N5" s="159"/>
    </row>
    <row r="6" spans="1:14">
      <c r="B6" s="73">
        <v>43270</v>
      </c>
      <c r="C6" s="74" t="s">
        <v>232</v>
      </c>
      <c r="D6" s="92">
        <v>-9.0292059363810129</v>
      </c>
      <c r="E6" s="94">
        <v>-4.0601911100516794</v>
      </c>
      <c r="F6" s="68">
        <v>-24.552883999999999</v>
      </c>
      <c r="G6" s="159"/>
      <c r="H6" s="159"/>
      <c r="I6" s="159"/>
      <c r="J6" s="159"/>
      <c r="K6" s="159"/>
      <c r="L6" s="159"/>
      <c r="M6" s="159"/>
      <c r="N6" s="159"/>
    </row>
    <row r="7" spans="1:14">
      <c r="B7" s="73">
        <v>43328</v>
      </c>
      <c r="C7" s="74" t="s">
        <v>115</v>
      </c>
      <c r="D7" s="92">
        <v>-9.061504614855739</v>
      </c>
      <c r="E7" s="94">
        <v>-1.1956692137288303</v>
      </c>
      <c r="F7" s="68">
        <v>-24.678578000000002</v>
      </c>
      <c r="G7" s="159"/>
      <c r="H7" s="159"/>
      <c r="I7" s="159"/>
      <c r="J7" s="159"/>
      <c r="K7" s="159"/>
      <c r="L7" s="159"/>
      <c r="M7" s="159"/>
      <c r="N7" s="159"/>
    </row>
    <row r="8" spans="1:14">
      <c r="B8" s="73">
        <v>43371</v>
      </c>
      <c r="C8" s="74" t="s">
        <v>115</v>
      </c>
      <c r="D8" s="92">
        <v>-8.8560916465148161</v>
      </c>
      <c r="E8" s="94">
        <v>-1.3885104754368465</v>
      </c>
      <c r="F8" s="68">
        <v>-24.864401999999998</v>
      </c>
    </row>
    <row r="9" spans="1:14">
      <c r="B9" s="73">
        <v>43517</v>
      </c>
      <c r="C9" s="74" t="s">
        <v>115</v>
      </c>
      <c r="D9" s="92">
        <v>-7.6193907869095572</v>
      </c>
      <c r="E9" s="94">
        <v>-1.8459338066753954</v>
      </c>
      <c r="F9" s="68">
        <v>-25.909268000000001</v>
      </c>
    </row>
    <row r="10" spans="1:14">
      <c r="B10" s="73">
        <v>43620</v>
      </c>
      <c r="C10" s="74" t="s">
        <v>115</v>
      </c>
      <c r="D10" s="92">
        <v>-8.6733340909683694</v>
      </c>
      <c r="E10" s="94">
        <v>-1.6791371981290943</v>
      </c>
      <c r="F10" s="68">
        <v>-24.965764</v>
      </c>
    </row>
    <row r="11" spans="1:14">
      <c r="B11" s="73">
        <v>43696</v>
      </c>
      <c r="C11" s="112" t="s">
        <v>115</v>
      </c>
      <c r="D11" s="92">
        <v>-9.6712353798173467</v>
      </c>
      <c r="E11" s="94">
        <v>-0.11212441621572866</v>
      </c>
      <c r="F11" s="68">
        <v>-25.160340999999999</v>
      </c>
    </row>
    <row r="12" spans="1:14">
      <c r="B12" s="73">
        <v>43696</v>
      </c>
      <c r="C12" s="112" t="s">
        <v>115</v>
      </c>
      <c r="D12" s="92">
        <v>-7.8292504629646871</v>
      </c>
      <c r="E12" s="94">
        <v>-1.331321014416265</v>
      </c>
      <c r="F12" s="68">
        <v>-24.530024000000001</v>
      </c>
    </row>
    <row r="13" spans="1:14">
      <c r="B13" s="73">
        <v>43840</v>
      </c>
      <c r="C13" s="74" t="s">
        <v>115</v>
      </c>
      <c r="D13" s="92">
        <v>-7.4908879606824677</v>
      </c>
      <c r="E13" s="94">
        <v>2.3871022350348152</v>
      </c>
      <c r="F13" s="68">
        <v>-24.876735</v>
      </c>
    </row>
    <row r="14" spans="1:14">
      <c r="B14" s="73">
        <v>44058</v>
      </c>
      <c r="C14" s="74" t="s">
        <v>115</v>
      </c>
      <c r="D14" s="92">
        <v>-8.6084145070843761</v>
      </c>
      <c r="E14" s="94">
        <v>-2.7572228934397511</v>
      </c>
      <c r="F14" s="111">
        <v>-24.531327000000001</v>
      </c>
    </row>
    <row r="15" spans="1:14">
      <c r="B15" s="73">
        <v>44252</v>
      </c>
      <c r="C15" s="74" t="s">
        <v>115</v>
      </c>
      <c r="D15" s="92">
        <v>-10.056370685193983</v>
      </c>
      <c r="E15" s="94">
        <v>-2.9383882471955696</v>
      </c>
      <c r="F15" s="111">
        <v>-24.663072</v>
      </c>
    </row>
    <row r="16" spans="1:14">
      <c r="B16" s="73">
        <v>44372</v>
      </c>
      <c r="C16" s="74" t="s">
        <v>115</v>
      </c>
      <c r="D16" s="92">
        <v>-9.221772552518205</v>
      </c>
      <c r="E16" s="94">
        <v>-2.0795764590088899</v>
      </c>
      <c r="F16" s="111">
        <v>-24.459734000000001</v>
      </c>
    </row>
    <row r="17" spans="2:7">
      <c r="B17" s="73">
        <v>43328</v>
      </c>
      <c r="C17" s="74" t="s">
        <v>114</v>
      </c>
      <c r="D17" s="92">
        <v>-12.44907146237224</v>
      </c>
      <c r="E17" s="94">
        <v>-2.4519799557788442</v>
      </c>
      <c r="F17" s="68">
        <v>-25.441064999999998</v>
      </c>
    </row>
    <row r="18" spans="2:7">
      <c r="B18" s="73">
        <v>43371</v>
      </c>
      <c r="C18" s="74" t="s">
        <v>114</v>
      </c>
      <c r="D18" s="92">
        <v>-12.098884599763764</v>
      </c>
      <c r="E18" s="94">
        <v>-1.1975266141316165</v>
      </c>
      <c r="F18" s="68">
        <v>-25.756740000000001</v>
      </c>
    </row>
    <row r="19" spans="2:7">
      <c r="B19" s="73">
        <v>43517</v>
      </c>
      <c r="C19" s="74" t="s">
        <v>114</v>
      </c>
      <c r="D19" s="92">
        <v>-9.9399543183334007</v>
      </c>
      <c r="E19" s="94">
        <v>-0.920661073429069</v>
      </c>
      <c r="F19" s="68">
        <v>-25.909191</v>
      </c>
    </row>
    <row r="20" spans="2:7">
      <c r="B20" s="73">
        <v>43620</v>
      </c>
      <c r="C20" s="74" t="s">
        <v>114</v>
      </c>
      <c r="D20" s="92">
        <v>-9.9502438342791333</v>
      </c>
      <c r="E20" s="94">
        <v>7.4121226923875572E-2</v>
      </c>
      <c r="F20" s="68">
        <v>-26.564326000000001</v>
      </c>
    </row>
    <row r="21" spans="2:7">
      <c r="B21" s="73">
        <v>43696</v>
      </c>
      <c r="C21" s="74" t="s">
        <v>114</v>
      </c>
      <c r="D21" s="92">
        <v>-9.4066867750457366</v>
      </c>
      <c r="E21" s="94">
        <v>-1.6496188983577498</v>
      </c>
      <c r="F21" s="68">
        <v>-25.782859999999999</v>
      </c>
    </row>
    <row r="22" spans="2:7">
      <c r="B22" s="73">
        <v>43696</v>
      </c>
      <c r="C22" s="74" t="s">
        <v>114</v>
      </c>
      <c r="D22" s="92">
        <v>-10.744889316973383</v>
      </c>
      <c r="E22" s="94">
        <v>-1.6011161193314116</v>
      </c>
      <c r="F22" s="68">
        <v>-25.010667000000002</v>
      </c>
    </row>
    <row r="23" spans="2:7">
      <c r="B23" s="73">
        <v>43840</v>
      </c>
      <c r="C23" s="74" t="s">
        <v>114</v>
      </c>
      <c r="D23" s="92">
        <v>-8.7597094780142992</v>
      </c>
      <c r="E23" s="94">
        <v>0.64464413153941491</v>
      </c>
      <c r="F23" s="68">
        <v>-25.162331999999999</v>
      </c>
    </row>
    <row r="24" spans="2:7">
      <c r="B24" s="73">
        <v>44058</v>
      </c>
      <c r="C24" s="74" t="s">
        <v>114</v>
      </c>
      <c r="D24" s="92">
        <v>-9.6772004422003643</v>
      </c>
      <c r="E24" s="94">
        <v>-2.5706366979935309</v>
      </c>
      <c r="F24" s="111">
        <v>-23.977786999999999</v>
      </c>
    </row>
    <row r="25" spans="2:7">
      <c r="B25" s="73">
        <v>44252</v>
      </c>
      <c r="C25" s="74" t="s">
        <v>114</v>
      </c>
      <c r="D25" s="92">
        <v>-9.4067870106637752</v>
      </c>
      <c r="E25" s="94">
        <v>-0.62148289261135736</v>
      </c>
      <c r="F25" s="111">
        <v>-24.979033000000001</v>
      </c>
    </row>
    <row r="26" spans="2:7">
      <c r="B26" s="73">
        <v>44372</v>
      </c>
      <c r="C26" s="74" t="s">
        <v>114</v>
      </c>
      <c r="D26" s="92">
        <v>-9.2734834891433735</v>
      </c>
      <c r="E26" s="94">
        <v>-1.1876521910669644</v>
      </c>
      <c r="F26" s="111">
        <v>-24.808423000000001</v>
      </c>
    </row>
    <row r="27" spans="2:7">
      <c r="B27" s="73">
        <v>43328</v>
      </c>
      <c r="C27" s="74" t="s">
        <v>118</v>
      </c>
      <c r="D27" s="92">
        <v>-3.9179822936966007</v>
      </c>
      <c r="E27" s="94">
        <v>3.4826811400194471</v>
      </c>
      <c r="F27" s="68">
        <v>-24.534960000000002</v>
      </c>
    </row>
    <row r="28" spans="2:7">
      <c r="B28" s="73">
        <v>43620</v>
      </c>
      <c r="C28" s="74" t="s">
        <v>120</v>
      </c>
      <c r="D28" s="92">
        <v>-8.3118479463743427</v>
      </c>
      <c r="E28" s="94">
        <v>-2.9436369209604507</v>
      </c>
      <c r="F28" s="68">
        <v>-24.031524000000001</v>
      </c>
    </row>
    <row r="29" spans="2:7">
      <c r="B29" s="73">
        <v>43840</v>
      </c>
      <c r="C29" s="74" t="s">
        <v>120</v>
      </c>
      <c r="D29" s="92">
        <v>-7.8622604329178607</v>
      </c>
      <c r="E29" s="94">
        <v>-0.65308817877482395</v>
      </c>
      <c r="F29" s="68">
        <v>-24.484394000000002</v>
      </c>
    </row>
    <row r="30" spans="2:7">
      <c r="B30" s="73">
        <v>44058</v>
      </c>
      <c r="C30" s="74" t="s">
        <v>120</v>
      </c>
      <c r="D30" s="92">
        <v>-8.5738173329087672</v>
      </c>
      <c r="E30" s="94">
        <v>-2.0355295438287113</v>
      </c>
      <c r="F30" s="111">
        <v>-24.251815000000001</v>
      </c>
    </row>
    <row r="31" spans="2:7">
      <c r="B31" s="73">
        <v>44252</v>
      </c>
      <c r="C31" s="74" t="s">
        <v>120</v>
      </c>
      <c r="D31" s="92">
        <v>-6.5486488142938182</v>
      </c>
      <c r="E31" s="94">
        <v>-0.26402115212753285</v>
      </c>
      <c r="F31" s="111">
        <v>-24.077817</v>
      </c>
    </row>
    <row r="32" spans="2:7">
      <c r="B32" s="73">
        <v>44372</v>
      </c>
      <c r="C32" s="74" t="s">
        <v>120</v>
      </c>
      <c r="D32" s="92">
        <v>-7.9658641593285324</v>
      </c>
      <c r="E32" s="94">
        <v>8.3264143247571365E-2</v>
      </c>
      <c r="F32" s="111">
        <v>-23.932483000000001</v>
      </c>
      <c r="G32" s="93"/>
    </row>
    <row r="33" spans="2:7">
      <c r="B33" s="73">
        <v>43328</v>
      </c>
      <c r="C33" s="74" t="s">
        <v>117</v>
      </c>
      <c r="D33" s="92">
        <v>-5.484573718510017</v>
      </c>
      <c r="E33" s="94">
        <v>0.95725077645667334</v>
      </c>
      <c r="F33" s="68">
        <v>-25.519652000000001</v>
      </c>
    </row>
    <row r="34" spans="2:7">
      <c r="B34" s="73">
        <v>43620</v>
      </c>
      <c r="C34" s="74" t="s">
        <v>119</v>
      </c>
      <c r="D34" s="92">
        <v>-9.3556330040725992</v>
      </c>
      <c r="E34" s="94">
        <v>-0.59553288170805807</v>
      </c>
      <c r="F34" s="68">
        <v>-25.384633999999998</v>
      </c>
    </row>
    <row r="35" spans="2:7">
      <c r="B35" s="73">
        <v>43840</v>
      </c>
      <c r="C35" s="74" t="s">
        <v>119</v>
      </c>
      <c r="D35" s="92">
        <v>-9.8891623656334886</v>
      </c>
      <c r="E35" s="94">
        <v>-0.30836082114618479</v>
      </c>
      <c r="F35" s="68">
        <v>-24.562344</v>
      </c>
    </row>
    <row r="36" spans="2:7">
      <c r="B36" s="73">
        <v>44058</v>
      </c>
      <c r="C36" s="74" t="s">
        <v>119</v>
      </c>
      <c r="D36" s="92">
        <v>-5.4582234107214695</v>
      </c>
      <c r="E36" s="94">
        <v>0.93884816029844687</v>
      </c>
      <c r="F36" s="111">
        <v>-24.533056999999999</v>
      </c>
    </row>
    <row r="37" spans="2:7">
      <c r="B37" s="73">
        <v>44252</v>
      </c>
      <c r="C37" s="74" t="s">
        <v>119</v>
      </c>
      <c r="D37" s="92">
        <v>-8.462223213491626</v>
      </c>
      <c r="E37" s="94">
        <v>-1.3949014807893327</v>
      </c>
      <c r="F37" s="111">
        <v>-25.054316</v>
      </c>
    </row>
    <row r="38" spans="2:7">
      <c r="B38" s="73">
        <v>44372</v>
      </c>
      <c r="C38" s="74" t="s">
        <v>119</v>
      </c>
      <c r="D38" s="92">
        <v>-7.6774078468906577</v>
      </c>
      <c r="E38" s="94">
        <v>0.35959876246364397</v>
      </c>
      <c r="F38" s="111">
        <v>-24.13</v>
      </c>
      <c r="G38" s="93"/>
    </row>
    <row r="39" spans="2:7">
      <c r="B39" s="73"/>
      <c r="C39" s="74"/>
      <c r="D39" s="92"/>
      <c r="E39" s="94"/>
      <c r="F39" s="111"/>
    </row>
    <row r="40" spans="2:7">
      <c r="B40" s="73"/>
      <c r="C40" s="74"/>
      <c r="D40" s="92"/>
      <c r="E40" s="94"/>
      <c r="F40" s="111"/>
    </row>
    <row r="41" spans="2:7">
      <c r="B41" s="73"/>
      <c r="C41" s="74"/>
      <c r="D41" s="92"/>
      <c r="E41" s="94"/>
      <c r="F41" s="111"/>
    </row>
    <row r="42" spans="2:7">
      <c r="B42" s="73"/>
      <c r="C42" s="74"/>
      <c r="D42" s="92"/>
      <c r="E42" s="94"/>
      <c r="F42" s="1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3F33-A260-4B94-B5DD-575B8A4D6541}">
  <dimension ref="A2:P27"/>
  <sheetViews>
    <sheetView zoomScaleNormal="100" workbookViewId="0">
      <selection activeCell="K7" sqref="K7"/>
    </sheetView>
  </sheetViews>
  <sheetFormatPr defaultRowHeight="14.4"/>
  <cols>
    <col min="1" max="1" width="33.6640625" style="115" customWidth="1"/>
    <col min="2" max="3" width="9.33203125" bestFit="1" customWidth="1"/>
    <col min="4" max="4" width="7.109375" customWidth="1"/>
    <col min="5" max="7" width="9.33203125" bestFit="1" customWidth="1"/>
    <col min="8" max="8" width="9.6640625" customWidth="1"/>
    <col min="9" max="9" width="9.33203125" bestFit="1" customWidth="1"/>
  </cols>
  <sheetData>
    <row r="2" spans="1:16" s="114" customFormat="1" ht="27">
      <c r="A2" s="117" t="s">
        <v>233</v>
      </c>
    </row>
    <row r="3" spans="1:16">
      <c r="B3" t="s">
        <v>5</v>
      </c>
      <c r="F3" t="s">
        <v>2</v>
      </c>
    </row>
    <row r="4" spans="1:16">
      <c r="A4" s="115" t="s">
        <v>146</v>
      </c>
      <c r="B4" t="s">
        <v>166</v>
      </c>
      <c r="C4" t="s">
        <v>167</v>
      </c>
      <c r="D4" t="s">
        <v>168</v>
      </c>
      <c r="E4" t="s">
        <v>169</v>
      </c>
      <c r="F4" t="s">
        <v>166</v>
      </c>
      <c r="G4" t="s">
        <v>167</v>
      </c>
      <c r="H4" t="s">
        <v>168</v>
      </c>
      <c r="I4" t="s">
        <v>169</v>
      </c>
    </row>
    <row r="5" spans="1:16">
      <c r="A5" s="116">
        <v>43338</v>
      </c>
      <c r="B5" s="2">
        <v>1.8775991135999999</v>
      </c>
      <c r="C5" s="2">
        <v>1.2607355113999998</v>
      </c>
      <c r="D5" s="2">
        <v>1.1913090248</v>
      </c>
      <c r="E5" s="2">
        <v>1.3998623351999999</v>
      </c>
      <c r="F5" s="2">
        <v>3.8638367214000007</v>
      </c>
      <c r="G5" s="2">
        <v>2.1546503276000002</v>
      </c>
      <c r="H5" s="2">
        <v>2.3992278150000002</v>
      </c>
      <c r="I5" s="2">
        <v>5.5958742764</v>
      </c>
    </row>
    <row r="6" spans="1:16">
      <c r="A6" s="116">
        <v>43371</v>
      </c>
      <c r="B6" s="2">
        <v>1.6278014256666669</v>
      </c>
      <c r="C6" s="2">
        <v>1.0588832603666667</v>
      </c>
      <c r="D6" s="2">
        <v>1.0706138028666665</v>
      </c>
      <c r="E6" s="2">
        <v>1.1242768073999998</v>
      </c>
      <c r="F6" s="2">
        <v>1.0617132688666666</v>
      </c>
      <c r="G6" s="2">
        <v>1.0694779282666667</v>
      </c>
      <c r="H6" s="2">
        <v>1.7042054719999999</v>
      </c>
      <c r="I6" s="2">
        <v>1.3894099187333331</v>
      </c>
    </row>
    <row r="7" spans="1:16">
      <c r="A7" s="116">
        <v>43431</v>
      </c>
      <c r="B7" s="2">
        <v>4.3526323700000003</v>
      </c>
      <c r="C7" s="2">
        <v>4.3383702999999993</v>
      </c>
      <c r="D7" s="2">
        <v>3.8150529850000003</v>
      </c>
      <c r="E7" s="2">
        <v>4.2472129399999998</v>
      </c>
      <c r="F7" s="2">
        <v>3.6476457950000003</v>
      </c>
      <c r="G7" s="2">
        <v>4.2626125300000002</v>
      </c>
      <c r="H7" s="2">
        <v>5.2903947425000002</v>
      </c>
      <c r="I7" s="2">
        <v>3.6435960350000007</v>
      </c>
      <c r="N7" s="113"/>
      <c r="O7" s="113"/>
      <c r="P7" s="113"/>
    </row>
    <row r="8" spans="1:16">
      <c r="A8" s="116">
        <v>43493</v>
      </c>
      <c r="B8" s="2">
        <v>1.5719179425000003</v>
      </c>
      <c r="C8" s="2">
        <v>1.4127486330000001</v>
      </c>
      <c r="D8" s="2">
        <v>1.6716028005000001</v>
      </c>
      <c r="E8" s="2">
        <v>1.3156722839999999</v>
      </c>
      <c r="F8" s="2">
        <v>1.3424638680000005</v>
      </c>
      <c r="G8" s="2">
        <v>1.2497403630000001</v>
      </c>
      <c r="H8" s="2">
        <v>1.8350635245000002</v>
      </c>
      <c r="I8" s="2">
        <v>1.4323927140000001</v>
      </c>
    </row>
    <row r="9" spans="1:16">
      <c r="A9" s="116">
        <v>43517</v>
      </c>
      <c r="B9" s="2">
        <v>4.5201287070666663</v>
      </c>
      <c r="C9" s="2">
        <v>3.9479079019999994</v>
      </c>
      <c r="D9" s="2">
        <v>5.0199915684</v>
      </c>
      <c r="E9" s="2">
        <v>3.4206391419999997</v>
      </c>
      <c r="F9" s="2">
        <v>3.1484979501333332</v>
      </c>
      <c r="G9" s="2">
        <v>4.2089861731999996</v>
      </c>
      <c r="H9" s="2">
        <v>4.5244043410666661</v>
      </c>
      <c r="I9" s="2">
        <v>2.7901793758666669</v>
      </c>
    </row>
    <row r="10" spans="1:16">
      <c r="A10" s="116">
        <v>43549</v>
      </c>
      <c r="B10" s="2">
        <v>4.4751501065333326</v>
      </c>
      <c r="C10" s="2">
        <v>3.9579710353333324</v>
      </c>
      <c r="D10" s="2">
        <v>3.8497126931999999</v>
      </c>
      <c r="E10" s="2">
        <v>4.1252069481333331</v>
      </c>
      <c r="F10" s="2">
        <v>4.3600418972000003</v>
      </c>
      <c r="G10" s="2">
        <v>3.6741704222666662</v>
      </c>
      <c r="H10" s="2">
        <v>4.2644418945333324</v>
      </c>
      <c r="I10" s="2">
        <v>3.2463376322666662</v>
      </c>
    </row>
    <row r="11" spans="1:16">
      <c r="A11" s="116">
        <v>43580</v>
      </c>
      <c r="B11" s="2">
        <v>6.4815034169666657</v>
      </c>
      <c r="C11" s="2">
        <v>6.287834394099999</v>
      </c>
      <c r="D11" s="2">
        <v>4.7449545118999996</v>
      </c>
      <c r="E11" s="2">
        <v>5.3013301049666666</v>
      </c>
      <c r="F11" s="2">
        <v>5.3117112590999991</v>
      </c>
      <c r="G11" s="2">
        <v>3.8350163106333328</v>
      </c>
      <c r="H11" s="2">
        <v>10.170073165566667</v>
      </c>
      <c r="I11" s="2">
        <v>2.9559854161999999</v>
      </c>
    </row>
    <row r="12" spans="1:16">
      <c r="A12" s="116">
        <v>43637</v>
      </c>
      <c r="B12" s="2">
        <v>3.8573103799999999</v>
      </c>
      <c r="C12" s="2">
        <v>2.4758334880000001</v>
      </c>
      <c r="D12" s="2">
        <v>5.2767145079999995</v>
      </c>
      <c r="E12" s="2">
        <v>2.0413754279999998</v>
      </c>
      <c r="F12" s="2">
        <v>5.4268253399999997</v>
      </c>
      <c r="G12" s="2">
        <v>1.9228341100000002</v>
      </c>
      <c r="H12" s="2">
        <v>1.7285815200000001</v>
      </c>
      <c r="I12" s="2">
        <v>1.9665670320000004</v>
      </c>
    </row>
    <row r="13" spans="1:16">
      <c r="A13" s="116">
        <v>43670</v>
      </c>
      <c r="B13" s="2">
        <v>8.3296000088000017</v>
      </c>
      <c r="C13" s="2">
        <v>5.8981925307999994</v>
      </c>
      <c r="D13" s="2">
        <v>8.4175622927999996</v>
      </c>
      <c r="E13" s="2">
        <v>6.095383762</v>
      </c>
      <c r="F13" s="2">
        <v>5.2724750416000008</v>
      </c>
      <c r="G13" s="2">
        <v>4.7757329216000004</v>
      </c>
      <c r="H13" s="2">
        <v>5.0635961291999996</v>
      </c>
      <c r="I13" s="2">
        <v>7.5413887220000007</v>
      </c>
    </row>
    <row r="14" spans="1:16">
      <c r="A14" s="116">
        <v>43706</v>
      </c>
      <c r="B14" s="2">
        <v>5.2099717984999998</v>
      </c>
      <c r="C14" s="2">
        <v>4.5226710283999996</v>
      </c>
      <c r="D14" s="2">
        <v>5.8510167957999997</v>
      </c>
      <c r="E14" s="2">
        <v>4.7771486822</v>
      </c>
      <c r="F14" s="2">
        <v>4.3660052837999999</v>
      </c>
      <c r="G14" s="2">
        <v>4.3117494670000003</v>
      </c>
      <c r="H14" s="2">
        <v>4.2806937777999998</v>
      </c>
      <c r="I14" s="2">
        <v>4.2484119949000005</v>
      </c>
    </row>
    <row r="15" spans="1:16">
      <c r="A15" s="116">
        <v>43738</v>
      </c>
      <c r="B15" s="2">
        <v>3.6873554823999997</v>
      </c>
      <c r="C15" s="2">
        <v>3.3486514063999997</v>
      </c>
      <c r="D15" s="2">
        <v>3.3085766319999999</v>
      </c>
      <c r="E15" s="2">
        <v>3.2485981355999995</v>
      </c>
      <c r="F15" s="2">
        <v>3.2076452428000004</v>
      </c>
      <c r="G15" s="2">
        <v>3.1302938112000001</v>
      </c>
      <c r="H15" s="2">
        <v>3.1424555740000004</v>
      </c>
      <c r="I15" s="2">
        <v>3.1512597732000001</v>
      </c>
    </row>
    <row r="16" spans="1:16">
      <c r="A16" s="116">
        <v>43768</v>
      </c>
      <c r="B16" s="2">
        <v>3.0878240679999998</v>
      </c>
      <c r="C16" s="2">
        <v>2.5920716779999999</v>
      </c>
      <c r="D16" s="2">
        <v>1.7850504559999998</v>
      </c>
      <c r="E16" s="2">
        <v>2.4093229579999997</v>
      </c>
      <c r="F16" s="2">
        <v>3.2013570960000002</v>
      </c>
      <c r="G16" s="2">
        <v>1.4820445359999996</v>
      </c>
      <c r="H16" s="2">
        <v>1.6259849339999999</v>
      </c>
      <c r="I16" s="2">
        <v>1.33535227</v>
      </c>
    </row>
    <row r="17" spans="1:9">
      <c r="A17" s="116">
        <v>43790</v>
      </c>
      <c r="B17" s="2">
        <v>2.6156104280000005</v>
      </c>
      <c r="C17" s="2">
        <v>1.6773331640000002</v>
      </c>
      <c r="D17" s="2">
        <v>1.477517696</v>
      </c>
      <c r="E17" s="2">
        <v>2.20811812</v>
      </c>
      <c r="F17" s="2">
        <v>1.3550675880000003</v>
      </c>
      <c r="G17" s="2">
        <v>1.3825904240000004</v>
      </c>
      <c r="H17" s="2">
        <v>2.4871616000000007</v>
      </c>
      <c r="I17" s="2">
        <v>1.6924548000000001</v>
      </c>
    </row>
    <row r="18" spans="1:9">
      <c r="A18" s="116">
        <v>43810</v>
      </c>
      <c r="B18" s="2">
        <v>1.7012286794164306</v>
      </c>
      <c r="C18" s="2">
        <v>1.280580648593975</v>
      </c>
      <c r="D18" s="2">
        <v>1.0740894477083303</v>
      </c>
      <c r="E18" s="2">
        <v>1.5103413458317767</v>
      </c>
      <c r="F18" s="2">
        <v>1.4812217268839496</v>
      </c>
      <c r="G18" s="2">
        <v>1.0753317667707973</v>
      </c>
      <c r="H18" s="2">
        <v>1.0292770979415071</v>
      </c>
      <c r="I18" s="2">
        <v>1.0146910896614885</v>
      </c>
    </row>
    <row r="19" spans="1:9">
      <c r="A19" s="116">
        <v>43850</v>
      </c>
      <c r="B19" s="2">
        <v>2.9607938506138818</v>
      </c>
      <c r="C19" s="2">
        <v>2.3973833205643502</v>
      </c>
      <c r="D19" s="2">
        <v>2.4165595150508592</v>
      </c>
      <c r="E19" s="2">
        <v>2.6702416474478823</v>
      </c>
      <c r="F19" s="2">
        <v>2.5894947425871839</v>
      </c>
      <c r="G19" s="2">
        <v>1.9910051929831627</v>
      </c>
      <c r="H19" s="2">
        <v>1.9324366343828681</v>
      </c>
      <c r="I19" s="2">
        <v>1.9056166841123205</v>
      </c>
    </row>
    <row r="20" spans="1:9">
      <c r="A20" s="116">
        <v>43883</v>
      </c>
      <c r="B20" s="2">
        <v>1.9256947611246085</v>
      </c>
      <c r="C20" s="2">
        <v>1.7634740826350945</v>
      </c>
      <c r="D20" s="2">
        <v>1.7153811965488182</v>
      </c>
      <c r="E20" s="2">
        <v>1.9184121637890399</v>
      </c>
      <c r="F20" s="2">
        <v>2.0378875605225626</v>
      </c>
      <c r="G20" s="2">
        <v>1.5350292446915834</v>
      </c>
      <c r="H20" s="2">
        <v>1.4049890516314625</v>
      </c>
      <c r="I20" s="2">
        <v>1.4736121770193982</v>
      </c>
    </row>
    <row r="21" spans="1:9">
      <c r="A21" s="116"/>
      <c r="B21" s="2"/>
      <c r="C21" s="2"/>
      <c r="D21" s="2"/>
      <c r="E21" s="2"/>
      <c r="F21" s="2"/>
      <c r="G21" s="2"/>
      <c r="H21" s="2"/>
      <c r="I21" s="2"/>
    </row>
    <row r="22" spans="1:9">
      <c r="B22" t="s">
        <v>5</v>
      </c>
      <c r="G22" t="s">
        <v>2</v>
      </c>
    </row>
    <row r="23" spans="1:9">
      <c r="C23" t="s">
        <v>69</v>
      </c>
      <c r="D23" t="s">
        <v>74</v>
      </c>
      <c r="G23" t="s">
        <v>69</v>
      </c>
      <c r="H23" t="s">
        <v>74</v>
      </c>
    </row>
    <row r="24" spans="1:9" ht="18.899999999999999" customHeight="1">
      <c r="A24" s="184" t="s">
        <v>177</v>
      </c>
      <c r="B24" t="s">
        <v>173</v>
      </c>
      <c r="C24" s="2">
        <f>AVERAGE(B5:B20)</f>
        <v>3.6426326586992666</v>
      </c>
      <c r="D24" s="2">
        <f>_xlfn.STDEV.S(B5:B20)</f>
        <v>1.9062325367362352</v>
      </c>
      <c r="E24" s="2"/>
      <c r="F24" s="2"/>
      <c r="G24" s="2">
        <f>AVERAGE(F5:F20)</f>
        <v>3.2296181488683566</v>
      </c>
      <c r="H24" s="2">
        <f>_xlfn.STDEV.S(F5:F20)</f>
        <v>1.4866549427385933</v>
      </c>
    </row>
    <row r="25" spans="1:9">
      <c r="A25" s="184"/>
      <c r="B25" t="s">
        <v>170</v>
      </c>
      <c r="C25" s="2">
        <f>AVERAGE(C5:C20)</f>
        <v>3.0137901489745889</v>
      </c>
      <c r="D25" s="2">
        <f>_xlfn.STDEV.S(C5:C20)</f>
        <v>1.6654405194309618</v>
      </c>
      <c r="E25" s="2"/>
      <c r="F25" s="2"/>
      <c r="G25" s="2">
        <f>AVERAGE(G5:G20)</f>
        <v>2.6288290955757625</v>
      </c>
      <c r="H25" s="2">
        <f>_xlfn.STDEV.S(G5:G20)</f>
        <v>1.350263873719542</v>
      </c>
    </row>
    <row r="26" spans="1:9">
      <c r="A26" s="184"/>
      <c r="B26" t="s">
        <v>171</v>
      </c>
      <c r="C26" s="2">
        <f>AVERAGE(D5:D20)</f>
        <v>3.2928566204109169</v>
      </c>
      <c r="D26" s="2">
        <f>_xlfn.STDEV.S(D5:D20)</f>
        <v>2.1314878905614805</v>
      </c>
      <c r="E26" s="2"/>
      <c r="F26" s="2"/>
      <c r="G26" s="2">
        <f>AVERAGE(H5:H20)</f>
        <v>3.3051867046326566</v>
      </c>
      <c r="H26" s="2">
        <f>_xlfn.STDEV.S(H5:H20)</f>
        <v>2.3056332315505221</v>
      </c>
    </row>
    <row r="27" spans="1:9">
      <c r="B27" t="s">
        <v>172</v>
      </c>
      <c r="C27" s="2">
        <f>AVERAGE(E5:E20)</f>
        <v>2.9883214252855432</v>
      </c>
      <c r="D27" s="2">
        <f>_xlfn.STDEV.S(E5:E20)</f>
        <v>1.5362789717238829</v>
      </c>
      <c r="E27" s="2"/>
      <c r="F27" s="2"/>
      <c r="G27" s="2">
        <f>AVERAGE(I5:I20)</f>
        <v>2.8364456194599925</v>
      </c>
      <c r="H27" s="2">
        <f>_xlfn.STDEV.S(I5:I20)</f>
        <v>1.7721199288461704</v>
      </c>
    </row>
  </sheetData>
  <mergeCells count="1">
    <mergeCell ref="A24:A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52"/>
  <sheetViews>
    <sheetView tabSelected="1" topLeftCell="J1" zoomScale="85" zoomScaleNormal="85" workbookViewId="0">
      <pane xSplit="3" topLeftCell="W1" activePane="topRight" state="frozen"/>
      <selection activeCell="J1" sqref="J1"/>
      <selection pane="topRight" activeCell="AC19" sqref="AC19"/>
    </sheetView>
  </sheetViews>
  <sheetFormatPr defaultRowHeight="14.4"/>
  <cols>
    <col min="6" max="6" width="13.33203125" customWidth="1"/>
    <col min="8" max="8" width="12.109375" customWidth="1"/>
    <col min="9" max="9" width="14.33203125" customWidth="1"/>
    <col min="11" max="11" width="22.33203125" customWidth="1"/>
    <col min="12" max="12" width="25.5546875" customWidth="1"/>
    <col min="13" max="13" width="18" customWidth="1"/>
    <col min="14" max="14" width="14.33203125" customWidth="1"/>
    <col min="15" max="15" width="13.88671875" customWidth="1"/>
    <col min="16" max="16" width="13.109375" customWidth="1"/>
    <col min="17" max="17" width="13.5546875" customWidth="1"/>
    <col min="18" max="18" width="14" customWidth="1"/>
    <col min="19" max="19" width="13.5546875" customWidth="1"/>
    <col min="20" max="20" width="13.6640625" customWidth="1"/>
    <col min="21" max="21" width="11.33203125" customWidth="1"/>
    <col min="22" max="22" width="12.109375" customWidth="1"/>
    <col min="23" max="23" width="11.5546875" customWidth="1"/>
    <col min="24" max="24" width="12.6640625" customWidth="1"/>
    <col min="25" max="26" width="11.33203125" customWidth="1"/>
    <col min="27" max="27" width="14.33203125" customWidth="1"/>
    <col min="28" max="28" width="18" customWidth="1"/>
    <col min="29" max="29" width="20.44140625" customWidth="1"/>
    <col min="30" max="30" width="17.88671875" customWidth="1"/>
  </cols>
  <sheetData>
    <row r="1" spans="1:32" s="58" customFormat="1" ht="21">
      <c r="J1" s="58" t="s">
        <v>175</v>
      </c>
    </row>
    <row r="2" spans="1:32" s="1" customFormat="1"/>
    <row r="3" spans="1:32" s="1" customFormat="1">
      <c r="A3" s="1" t="s">
        <v>57</v>
      </c>
      <c r="L3" s="12" t="s">
        <v>148</v>
      </c>
      <c r="M3" s="55">
        <v>43338</v>
      </c>
      <c r="N3" s="55">
        <v>43371</v>
      </c>
      <c r="O3" s="55">
        <v>43431</v>
      </c>
      <c r="P3" s="55">
        <v>43493</v>
      </c>
      <c r="Q3" s="55">
        <v>43517</v>
      </c>
      <c r="R3" s="55">
        <v>43549</v>
      </c>
      <c r="S3" s="55">
        <v>43580</v>
      </c>
      <c r="T3" s="55">
        <v>43637</v>
      </c>
      <c r="U3" s="55">
        <v>43670</v>
      </c>
      <c r="V3" s="55">
        <v>43706</v>
      </c>
      <c r="W3" s="55">
        <v>43738</v>
      </c>
      <c r="X3" s="55">
        <v>43768</v>
      </c>
      <c r="Y3" s="55">
        <v>43790</v>
      </c>
      <c r="Z3" s="55">
        <v>43810</v>
      </c>
      <c r="AA3" s="55">
        <v>43850</v>
      </c>
      <c r="AB3" s="55">
        <v>43883</v>
      </c>
    </row>
    <row r="4" spans="1:32" s="1" customFormat="1" ht="26.1" customHeight="1">
      <c r="A4" s="8" t="s">
        <v>39</v>
      </c>
      <c r="B4" s="9"/>
      <c r="C4" s="9"/>
      <c r="D4" s="9"/>
      <c r="E4" s="9"/>
      <c r="F4" s="9" t="s">
        <v>40</v>
      </c>
      <c r="G4" s="9"/>
      <c r="H4" s="9" t="s">
        <v>41</v>
      </c>
      <c r="I4" s="9" t="s">
        <v>42</v>
      </c>
      <c r="J4" s="160"/>
      <c r="K4" s="1" t="s">
        <v>5</v>
      </c>
      <c r="L4" s="185" t="s">
        <v>38</v>
      </c>
      <c r="M4" s="53">
        <v>5.4281801862945046E-2</v>
      </c>
      <c r="N4" s="53">
        <v>5.404963623166785E-2</v>
      </c>
      <c r="O4" s="53">
        <v>5.16864548693741E-2</v>
      </c>
      <c r="P4" s="53">
        <v>5.1199832978731694E-2</v>
      </c>
      <c r="Q4" s="53">
        <v>5.2763958850169879E-2</v>
      </c>
      <c r="R4" s="53">
        <v>5.2403732386785314E-2</v>
      </c>
      <c r="S4" s="53">
        <v>5.3223957605293137E-2</v>
      </c>
      <c r="T4" s="53">
        <v>5.4780734965294273E-2</v>
      </c>
      <c r="U4" s="53">
        <v>5.6762150491344081E-2</v>
      </c>
      <c r="V4" s="53">
        <v>5.5818056184142255E-2</v>
      </c>
      <c r="W4" s="53">
        <v>5.4248609235291463E-2</v>
      </c>
      <c r="X4" s="53">
        <v>4.0880863076635701E-2</v>
      </c>
      <c r="Y4" s="53">
        <v>4.0090406335546329E-2</v>
      </c>
      <c r="Z4" s="53">
        <v>0.05</v>
      </c>
      <c r="AA4" s="53">
        <v>0.05</v>
      </c>
      <c r="AB4" s="161">
        <v>5.1459119154388451E-2</v>
      </c>
      <c r="AD4" s="1" t="s">
        <v>272</v>
      </c>
      <c r="AF4" s="1" t="s">
        <v>271</v>
      </c>
    </row>
    <row r="5" spans="1:32" s="1" customFormat="1">
      <c r="A5" s="7"/>
      <c r="B5" s="5"/>
      <c r="C5" s="5"/>
      <c r="D5" s="5"/>
      <c r="E5" s="5"/>
      <c r="F5" s="5" t="s">
        <v>43</v>
      </c>
      <c r="G5" s="5"/>
      <c r="H5" s="5"/>
      <c r="I5" s="5"/>
      <c r="J5" s="5"/>
      <c r="K5" s="1" t="s">
        <v>2</v>
      </c>
      <c r="L5" s="186"/>
      <c r="M5" s="53">
        <v>5.431500319153653E-2</v>
      </c>
      <c r="N5" s="53">
        <v>5.3850976653700242E-2</v>
      </c>
      <c r="O5" s="53">
        <v>5.1588972689180397E-2</v>
      </c>
      <c r="P5" s="53">
        <v>5.0973418190913007E-2</v>
      </c>
      <c r="Q5" s="53">
        <v>5.2895212433624793E-2</v>
      </c>
      <c r="R5" s="53">
        <v>5.263284504690522E-2</v>
      </c>
      <c r="S5" s="53">
        <v>5.3256880125086246E-2</v>
      </c>
      <c r="T5" s="53">
        <v>5.4647494861997617E-2</v>
      </c>
      <c r="U5" s="53">
        <v>5.6762150491344081E-2</v>
      </c>
      <c r="V5" s="53">
        <v>5.5683739832763368E-2</v>
      </c>
      <c r="W5" s="53">
        <v>5.4481140321973556E-2</v>
      </c>
      <c r="X5" s="53">
        <v>4.0939678410787952E-2</v>
      </c>
      <c r="Y5" s="53">
        <v>4.0148731766500766E-2</v>
      </c>
      <c r="Z5" s="53">
        <v>0.05</v>
      </c>
      <c r="AA5" s="53">
        <v>0.05</v>
      </c>
      <c r="AB5" s="53">
        <v>5.1394244989250215E-2</v>
      </c>
      <c r="AD5" s="1" t="s">
        <v>273</v>
      </c>
    </row>
    <row r="6" spans="1:32" s="1" customFormat="1" ht="13.95" customHeight="1">
      <c r="A6" s="7" t="s">
        <v>44</v>
      </c>
      <c r="B6" s="5"/>
      <c r="C6" s="5"/>
      <c r="D6" s="5"/>
      <c r="E6" s="5"/>
      <c r="F6" s="5">
        <f>A17</f>
        <v>4.9582064514529609</v>
      </c>
      <c r="G6" s="5"/>
      <c r="H6" s="5">
        <v>100</v>
      </c>
      <c r="I6" s="5">
        <v>18713809</v>
      </c>
      <c r="J6" s="5"/>
      <c r="K6" s="1" t="s">
        <v>5</v>
      </c>
      <c r="L6" s="185" t="s">
        <v>0</v>
      </c>
      <c r="M6" s="53">
        <v>0.13800000000000001</v>
      </c>
      <c r="N6" s="53">
        <v>9.4E-2</v>
      </c>
      <c r="O6" s="53">
        <v>0.129</v>
      </c>
      <c r="P6" s="53">
        <v>0.122</v>
      </c>
      <c r="Q6" s="53">
        <v>0.13900000000000001</v>
      </c>
      <c r="R6" s="53">
        <v>0.14399999999999999</v>
      </c>
      <c r="S6" s="53">
        <v>0.14099999999999999</v>
      </c>
      <c r="T6" s="53">
        <v>0.154</v>
      </c>
      <c r="U6" s="53">
        <v>0.129</v>
      </c>
      <c r="V6" s="53">
        <v>0.106</v>
      </c>
      <c r="W6" s="53">
        <v>0.14699999999999999</v>
      </c>
      <c r="X6" s="53">
        <v>0.16500000000000001</v>
      </c>
      <c r="Y6" s="53">
        <v>0.17</v>
      </c>
      <c r="Z6" s="53">
        <v>0.16900000000000001</v>
      </c>
      <c r="AA6" s="53">
        <v>0.17699999999999999</v>
      </c>
      <c r="AB6" s="53">
        <v>0.183</v>
      </c>
    </row>
    <row r="7" spans="1:32" s="1" customFormat="1" ht="12.9" customHeight="1">
      <c r="A7" s="7"/>
      <c r="B7" s="5"/>
      <c r="C7" s="5"/>
      <c r="D7" s="5"/>
      <c r="E7" s="5"/>
      <c r="F7" s="5">
        <f>A17</f>
        <v>4.9582064514529609</v>
      </c>
      <c r="G7" s="5"/>
      <c r="H7" s="5">
        <v>60</v>
      </c>
      <c r="I7" s="5">
        <v>10492604</v>
      </c>
      <c r="J7" s="5"/>
      <c r="K7" s="1" t="s">
        <v>2</v>
      </c>
      <c r="L7" s="186"/>
      <c r="M7" s="53">
        <v>0.25800000000000001</v>
      </c>
      <c r="N7" s="53">
        <v>0.247</v>
      </c>
      <c r="O7" s="53">
        <v>0.32800000000000001</v>
      </c>
      <c r="P7" s="53">
        <v>0.27100000000000002</v>
      </c>
      <c r="Q7" s="53">
        <v>0.3</v>
      </c>
      <c r="R7" s="53">
        <v>0.29499999999999998</v>
      </c>
      <c r="S7" s="53">
        <v>0.24199999999999999</v>
      </c>
      <c r="T7" s="53">
        <v>0.29099999999999998</v>
      </c>
      <c r="U7" s="53">
        <v>0.14299999999999999</v>
      </c>
      <c r="V7" s="53">
        <v>0.157</v>
      </c>
      <c r="W7" s="53">
        <v>0.19900000000000001</v>
      </c>
      <c r="X7" s="53">
        <v>0.29799999999999999</v>
      </c>
      <c r="Y7" s="53">
        <v>0.316</v>
      </c>
      <c r="Z7" s="53">
        <v>0.31</v>
      </c>
      <c r="AA7" s="53">
        <v>0.32600000000000001</v>
      </c>
      <c r="AB7" s="53">
        <v>0.33400000000000002</v>
      </c>
    </row>
    <row r="8" spans="1:32" s="1" customFormat="1">
      <c r="A8" s="7">
        <f>1*1/(8.2*10^-5*295.15)</f>
        <v>41.318387095441345</v>
      </c>
      <c r="B8" s="5" t="s">
        <v>45</v>
      </c>
      <c r="C8" s="5" t="s">
        <v>46</v>
      </c>
      <c r="D8" s="5"/>
      <c r="E8" s="5"/>
      <c r="F8" s="5">
        <f>A17</f>
        <v>4.9582064514529609</v>
      </c>
      <c r="G8" s="5"/>
      <c r="H8" s="5">
        <v>20</v>
      </c>
      <c r="I8" s="5">
        <v>2787514</v>
      </c>
      <c r="J8" s="5"/>
      <c r="K8" s="1" t="s">
        <v>5</v>
      </c>
      <c r="L8" s="189" t="s">
        <v>234</v>
      </c>
      <c r="M8" s="162">
        <f>M4*(0.565-M6)^2.5/0.565</f>
        <v>1.1446573339773431E-2</v>
      </c>
      <c r="N8" s="162">
        <f t="shared" ref="N8:Y8" si="0">N4*(0.565-N6)^2.5/0.565</f>
        <v>1.4564534056406604E-2</v>
      </c>
      <c r="O8" s="162">
        <f t="shared" si="0"/>
        <v>1.1482713277168788E-2</v>
      </c>
      <c r="P8" s="162">
        <f t="shared" si="0"/>
        <v>1.1836666514119264E-2</v>
      </c>
      <c r="Q8" s="162">
        <f t="shared" si="0"/>
        <v>1.1061471963421153E-2</v>
      </c>
      <c r="R8" s="162">
        <f t="shared" si="0"/>
        <v>1.0666428141338788E-2</v>
      </c>
      <c r="S8" s="162">
        <f t="shared" si="0"/>
        <v>1.1027405840647667E-2</v>
      </c>
      <c r="T8" s="162">
        <f t="shared" si="0"/>
        <v>1.0499870954474508E-2</v>
      </c>
      <c r="U8" s="162">
        <f t="shared" si="0"/>
        <v>1.2610334772134127E-2</v>
      </c>
      <c r="V8" s="162">
        <f t="shared" si="0"/>
        <v>1.4101261762820174E-2</v>
      </c>
      <c r="W8" s="162">
        <f t="shared" si="0"/>
        <v>1.0846281339664374E-2</v>
      </c>
      <c r="X8" s="162">
        <f t="shared" si="0"/>
        <v>7.3218627984791432E-3</v>
      </c>
      <c r="Y8" s="162">
        <f t="shared" si="0"/>
        <v>6.9580052052125394E-3</v>
      </c>
      <c r="Z8" s="162">
        <f t="shared" ref="Z8:AB9" si="1">Z4*(0.565-Z6)^2.5/0.565</f>
        <v>8.7329207965301109E-3</v>
      </c>
      <c r="AA8" s="162">
        <f t="shared" si="1"/>
        <v>8.2985243087324578E-3</v>
      </c>
      <c r="AB8" s="162">
        <f t="shared" si="1"/>
        <v>8.2143330514021454E-3</v>
      </c>
    </row>
    <row r="9" spans="1:32" s="1" customFormat="1" ht="17.100000000000001" customHeight="1">
      <c r="A9" s="7" t="s">
        <v>47</v>
      </c>
      <c r="B9" s="5"/>
      <c r="C9" s="5"/>
      <c r="D9" s="5"/>
      <c r="E9" s="5"/>
      <c r="F9" s="163"/>
      <c r="G9" s="164" t="s">
        <v>56</v>
      </c>
      <c r="H9" s="164" t="s">
        <v>48</v>
      </c>
      <c r="I9" s="9" t="s">
        <v>49</v>
      </c>
      <c r="J9" s="5"/>
      <c r="K9" s="1" t="s">
        <v>2</v>
      </c>
      <c r="L9" s="191"/>
      <c r="M9" s="162">
        <f>M5*(0.565-M7)^2.5/0.565</f>
        <v>5.0201570094320445E-3</v>
      </c>
      <c r="N9" s="162">
        <f t="shared" ref="N9:Y9" si="2">N5*(0.565-N7)^2.5/0.565</f>
        <v>5.43516754599325E-3</v>
      </c>
      <c r="O9" s="162">
        <f t="shared" si="2"/>
        <v>2.4967743662812781E-3</v>
      </c>
      <c r="P9" s="162">
        <f t="shared" si="2"/>
        <v>4.2282789964160654E-3</v>
      </c>
      <c r="Q9" s="162">
        <f t="shared" si="2"/>
        <v>3.3844071405719363E-3</v>
      </c>
      <c r="R9" s="162">
        <f t="shared" si="2"/>
        <v>3.5287249555207359E-3</v>
      </c>
      <c r="S9" s="162">
        <f t="shared" si="2"/>
        <v>5.5889931737101899E-3</v>
      </c>
      <c r="T9" s="162">
        <f t="shared" si="2"/>
        <v>3.8010030417310169E-3</v>
      </c>
      <c r="U9" s="162">
        <f t="shared" si="2"/>
        <v>1.162228498464999E-2</v>
      </c>
      <c r="V9" s="162">
        <f t="shared" si="2"/>
        <v>1.0479253722770339E-2</v>
      </c>
      <c r="W9" s="162">
        <f t="shared" si="2"/>
        <v>7.8144866702399476E-3</v>
      </c>
      <c r="X9" s="162">
        <f t="shared" si="2"/>
        <v>2.6691570780111016E-3</v>
      </c>
      <c r="Y9" s="162">
        <f t="shared" si="2"/>
        <v>2.1984761121356272E-3</v>
      </c>
      <c r="Z9" s="162">
        <f t="shared" si="1"/>
        <v>2.9058420735265217E-3</v>
      </c>
      <c r="AA9" s="162">
        <f t="shared" si="1"/>
        <v>2.4712478750585094E-3</v>
      </c>
      <c r="AB9" s="162">
        <f t="shared" si="1"/>
        <v>2.3328992974081851E-3</v>
      </c>
    </row>
    <row r="10" spans="1:32" s="1" customFormat="1" ht="33" customHeight="1">
      <c r="A10" s="7">
        <f>A8/100</f>
        <v>0.41318387095441345</v>
      </c>
      <c r="B10" s="5" t="s">
        <v>50</v>
      </c>
      <c r="C10" s="5"/>
      <c r="D10" s="5"/>
      <c r="E10" s="5"/>
      <c r="F10" s="7" t="s">
        <v>51</v>
      </c>
      <c r="G10" s="5">
        <v>0.1</v>
      </c>
      <c r="H10" s="5">
        <v>4398206</v>
      </c>
      <c r="I10" s="5">
        <f>2*10^-7*H10+0.3197</f>
        <v>1.1993412000000001</v>
      </c>
      <c r="J10" s="5"/>
      <c r="K10" s="1" t="s">
        <v>5</v>
      </c>
      <c r="L10" s="187" t="s">
        <v>235</v>
      </c>
      <c r="M10" s="53">
        <f>ROUNDDOWN(0.8205142802,2)</f>
        <v>0.82</v>
      </c>
      <c r="N10" s="53">
        <v>7.8471320899999947E-2</v>
      </c>
      <c r="O10" s="53">
        <v>0.65525473750000029</v>
      </c>
      <c r="P10" s="53">
        <v>7.84880669999998E-2</v>
      </c>
      <c r="Q10" s="53">
        <v>0.79144279466666601</v>
      </c>
      <c r="R10" s="53">
        <v>0.95172062186666617</v>
      </c>
      <c r="S10" s="53">
        <v>2.8581536753000001</v>
      </c>
      <c r="T10" s="53">
        <v>0.37631026799999995</v>
      </c>
      <c r="U10" s="53">
        <v>1.5641492200000002</v>
      </c>
      <c r="V10" s="53">
        <v>0.58425873179999999</v>
      </c>
      <c r="W10" s="53">
        <v>0.13260650079999969</v>
      </c>
      <c r="X10" s="53">
        <v>1.3537233639999999</v>
      </c>
      <c r="Y10" s="53">
        <v>0.85069224399999988</v>
      </c>
      <c r="Z10" s="53">
        <v>0.59</v>
      </c>
      <c r="AA10" s="53">
        <v>0.78</v>
      </c>
      <c r="AB10" s="53">
        <v>0.53577935701398793</v>
      </c>
      <c r="AC10" s="53"/>
    </row>
    <row r="11" spans="1:32" s="1" customFormat="1" ht="22.5" customHeight="1">
      <c r="A11" s="7"/>
      <c r="B11" s="5"/>
      <c r="C11" s="5"/>
      <c r="D11" s="5"/>
      <c r="E11" s="5"/>
      <c r="F11" s="7"/>
      <c r="G11" s="5"/>
      <c r="H11" s="5">
        <v>4299294</v>
      </c>
      <c r="I11" s="5">
        <f>2*10^-7*H11+0.3197</f>
        <v>1.1795587999999999</v>
      </c>
      <c r="J11" s="5"/>
      <c r="K11" s="1" t="s">
        <v>2</v>
      </c>
      <c r="L11" s="188"/>
      <c r="M11" s="53">
        <f>ROUNDDOWN(5.0685780824,2)</f>
        <v>5.0599999999999996</v>
      </c>
      <c r="N11" s="53">
        <v>0.3566432252666667</v>
      </c>
      <c r="O11" s="53">
        <v>5.116140750000113E-2</v>
      </c>
      <c r="P11" s="53">
        <v>0.21182851650000015</v>
      </c>
      <c r="Q11" s="53">
        <v>0.18307011933333364</v>
      </c>
      <c r="R11" s="53">
        <v>9.1357277733333575E-2</v>
      </c>
      <c r="S11" s="53">
        <v>0.49605232430000007</v>
      </c>
      <c r="T11" s="53">
        <v>0.34365816200000021</v>
      </c>
      <c r="U11" s="53">
        <v>2.9680456576000003</v>
      </c>
      <c r="V11" s="53">
        <v>8.4403808700000832E-2</v>
      </c>
      <c r="W11" s="53">
        <v>7.5767808800000225E-2</v>
      </c>
      <c r="X11" s="53">
        <v>0.29152566099999999</v>
      </c>
      <c r="Y11" s="53">
        <v>0.33779591599999997</v>
      </c>
      <c r="Z11" s="53">
        <v>0.02</v>
      </c>
      <c r="AA11" s="53">
        <v>-0.03</v>
      </c>
      <c r="AB11" s="53">
        <v>9.732253301699334E-2</v>
      </c>
    </row>
    <row r="12" spans="1:32" s="1" customFormat="1">
      <c r="A12" s="7" t="s">
        <v>52</v>
      </c>
      <c r="B12" s="5"/>
      <c r="C12" s="5"/>
      <c r="D12" s="5"/>
      <c r="E12" s="5"/>
      <c r="F12" s="7"/>
      <c r="G12" s="5"/>
      <c r="H12" s="5">
        <v>4137508</v>
      </c>
      <c r="I12" s="5">
        <f>2*10^-7*H12+0.3197</f>
        <v>1.1472015999999998</v>
      </c>
      <c r="J12" s="5"/>
      <c r="K12" s="1" t="s">
        <v>236</v>
      </c>
      <c r="L12" s="189" t="s">
        <v>238</v>
      </c>
      <c r="M12" s="53">
        <f>M8*M10/0.1</f>
        <v>9.386190138614213E-2</v>
      </c>
      <c r="N12" s="53">
        <f t="shared" ref="N12:Y12" si="3">N8*N10/0.1</f>
        <v>1.1428982256992605E-2</v>
      </c>
      <c r="O12" s="53">
        <f t="shared" si="3"/>
        <v>7.5241022742190022E-2</v>
      </c>
      <c r="P12" s="53">
        <f t="shared" si="3"/>
        <v>9.2903707441684691E-3</v>
      </c>
      <c r="Q12" s="53">
        <f t="shared" si="3"/>
        <v>8.7545222838570108E-2</v>
      </c>
      <c r="R12" s="53">
        <f t="shared" si="3"/>
        <v>0.10151459623771059</v>
      </c>
      <c r="S12" s="53">
        <f t="shared" si="3"/>
        <v>0.31518020532471813</v>
      </c>
      <c r="T12" s="53">
        <f>T8*T10/0.1</f>
        <v>3.9512092528437168E-2</v>
      </c>
      <c r="U12" s="53">
        <f t="shared" si="3"/>
        <v>0.19724445297772472</v>
      </c>
      <c r="V12" s="53">
        <f t="shared" si="3"/>
        <v>8.2387853143251477E-2</v>
      </c>
      <c r="W12" s="162">
        <f>W8*W10/0.1</f>
        <v>1.4382874151452256E-2</v>
      </c>
      <c r="X12" s="162">
        <f t="shared" si="3"/>
        <v>9.911776738303639E-2</v>
      </c>
      <c r="Y12" s="162">
        <f t="shared" si="3"/>
        <v>5.9191210617859348E-2</v>
      </c>
      <c r="Z12" s="162">
        <v>0.05</v>
      </c>
      <c r="AA12" s="162">
        <v>7.0000000000000007E-2</v>
      </c>
      <c r="AB12" s="162">
        <v>7.0000000000000007E-2</v>
      </c>
    </row>
    <row r="13" spans="1:32" s="1" customFormat="1">
      <c r="A13" s="7"/>
      <c r="B13" s="5"/>
      <c r="C13" s="5"/>
      <c r="D13" s="5"/>
      <c r="E13" s="5"/>
      <c r="F13" s="7"/>
      <c r="G13" s="5"/>
      <c r="H13" s="5"/>
      <c r="I13" s="5"/>
      <c r="J13" s="5"/>
      <c r="K13" s="1" t="s">
        <v>60</v>
      </c>
      <c r="L13" s="190"/>
      <c r="M13" s="53">
        <v>3.5853374167758166E-3</v>
      </c>
      <c r="N13" s="53">
        <v>5.3304762160965593E-4</v>
      </c>
      <c r="O13" s="53">
        <v>6.8104685398069032E-3</v>
      </c>
      <c r="P13" s="53">
        <v>1.56528929075926E-2</v>
      </c>
      <c r="Q13" s="53">
        <v>1.072597633421129E-2</v>
      </c>
      <c r="R13" s="53">
        <v>5.6931440886081918E-3</v>
      </c>
      <c r="S13" s="53">
        <v>7.9363560159470721E-3</v>
      </c>
      <c r="T13" s="53">
        <v>2.699092647312093E-2</v>
      </c>
      <c r="U13" s="53">
        <v>4.1623618495410249E-2</v>
      </c>
      <c r="V13" s="53">
        <v>9.8450855695046083E-3</v>
      </c>
      <c r="W13" s="162">
        <v>3.2719040411941015E-3</v>
      </c>
      <c r="X13" s="162">
        <v>1.6888618645300834E-3</v>
      </c>
      <c r="Y13" s="162">
        <v>8.6274400885079511E-3</v>
      </c>
      <c r="Z13" s="162">
        <v>2.4569997103877526E-3</v>
      </c>
      <c r="AA13" s="162">
        <v>3.0137941392946767E-3</v>
      </c>
      <c r="AB13" s="162">
        <v>1.9455740014744556E-3</v>
      </c>
    </row>
    <row r="14" spans="1:32" s="1" customFormat="1">
      <c r="A14" s="7">
        <f>A10*44</f>
        <v>18.180090321994193</v>
      </c>
      <c r="B14" s="5" t="s">
        <v>53</v>
      </c>
      <c r="C14" s="5"/>
      <c r="D14" s="5"/>
      <c r="E14" s="5"/>
      <c r="F14" s="7" t="s">
        <v>55</v>
      </c>
      <c r="G14" s="5">
        <v>1</v>
      </c>
      <c r="H14" s="5">
        <v>813159</v>
      </c>
      <c r="I14" s="5">
        <f>2*10^-7*H14+0.3197</f>
        <v>0.48233179999999998</v>
      </c>
      <c r="J14" s="5"/>
      <c r="K14" s="1" t="s">
        <v>58</v>
      </c>
      <c r="L14" s="190"/>
      <c r="M14" s="53">
        <f>M9*M11/0.1</f>
        <v>0.25401994467726141</v>
      </c>
      <c r="N14" s="53">
        <f t="shared" ref="N14:Y14" si="4">N9*N11/0.1</f>
        <v>1.9384156834677466E-2</v>
      </c>
      <c r="O14" s="53">
        <f t="shared" si="4"/>
        <v>1.2773849078887354E-3</v>
      </c>
      <c r="P14" s="53">
        <f t="shared" si="4"/>
        <v>8.9567006715892458E-3</v>
      </c>
      <c r="Q14" s="53">
        <f t="shared" si="4"/>
        <v>6.1958381909709087E-3</v>
      </c>
      <c r="R14" s="53">
        <f t="shared" si="4"/>
        <v>3.2237470580605302E-3</v>
      </c>
      <c r="S14" s="53">
        <f t="shared" si="4"/>
        <v>2.7724330543157736E-2</v>
      </c>
      <c r="T14" s="53">
        <f t="shared" si="4"/>
        <v>1.3062457190776913E-2</v>
      </c>
      <c r="U14" s="53">
        <f t="shared" si="4"/>
        <v>0.34495472480080086</v>
      </c>
      <c r="V14" s="53">
        <f t="shared" si="4"/>
        <v>8.8448892653547918E-3</v>
      </c>
      <c r="W14" s="162">
        <f t="shared" si="4"/>
        <v>5.9208653190089069E-3</v>
      </c>
      <c r="X14" s="162">
        <f t="shared" si="4"/>
        <v>7.7812778148001489E-3</v>
      </c>
      <c r="Y14" s="162">
        <f t="shared" si="4"/>
        <v>7.4263625210297278E-3</v>
      </c>
      <c r="Z14" s="162">
        <v>6.9999999999999999E-4</v>
      </c>
      <c r="AA14" s="162">
        <v>-6.9999999999999999E-4</v>
      </c>
      <c r="AB14" s="162">
        <v>2.2704366889732862E-3</v>
      </c>
    </row>
    <row r="15" spans="1:32" s="1" customFormat="1">
      <c r="A15" s="7"/>
      <c r="B15" s="5"/>
      <c r="C15" s="5"/>
      <c r="D15" s="5"/>
      <c r="E15" s="5"/>
      <c r="F15" s="7"/>
      <c r="G15" s="5"/>
      <c r="H15" s="5">
        <v>842586</v>
      </c>
      <c r="I15" s="5">
        <f>2*10^-7*H15+0.3197</f>
        <v>0.48821720000000002</v>
      </c>
      <c r="J15" s="5"/>
      <c r="K15" s="1" t="s">
        <v>60</v>
      </c>
      <c r="L15" s="191"/>
      <c r="M15" s="53">
        <v>1.2318791507670099E-2</v>
      </c>
      <c r="N15" s="53">
        <v>5.0222919933890289E-3</v>
      </c>
      <c r="O15" s="53">
        <v>1.1001804330488462E-3</v>
      </c>
      <c r="P15" s="53">
        <v>2.6175729442255769E-3</v>
      </c>
      <c r="Q15" s="53">
        <v>3.8580351266193848E-3</v>
      </c>
      <c r="R15" s="53">
        <v>1.016519910806375E-3</v>
      </c>
      <c r="S15" s="53">
        <v>2.3813941801528151E-2</v>
      </c>
      <c r="T15" s="53">
        <v>1.1854937568759613E-3</v>
      </c>
      <c r="U15" s="53">
        <v>6.555579921106878E-3</v>
      </c>
      <c r="V15" s="53">
        <v>2.9399234324045472E-3</v>
      </c>
      <c r="W15" s="162">
        <v>9.5673698127142709E-4</v>
      </c>
      <c r="X15" s="162">
        <v>7.5262362583755171E-4</v>
      </c>
      <c r="Y15" s="162">
        <v>1.1080500945886578E-3</v>
      </c>
      <c r="Z15" s="162">
        <v>1.7618303918909089E-4</v>
      </c>
      <c r="AA15" s="162">
        <v>3.9960437324901819E-4</v>
      </c>
      <c r="AB15" s="162">
        <v>6.2103126374474604E-5</v>
      </c>
    </row>
    <row r="16" spans="1:32" s="1" customFormat="1">
      <c r="A16" s="7" t="s">
        <v>54</v>
      </c>
      <c r="B16" s="5"/>
      <c r="C16" s="5"/>
      <c r="D16" s="5"/>
      <c r="E16" s="5"/>
      <c r="F16" s="7"/>
      <c r="G16" s="5"/>
      <c r="H16" s="5">
        <v>845330</v>
      </c>
      <c r="I16" s="5">
        <f>2*10^-7*H16+0.3197</f>
        <v>0.48876599999999998</v>
      </c>
      <c r="J16" s="5"/>
      <c r="AB16" s="165"/>
    </row>
    <row r="17" spans="1:31" s="1" customFormat="1" ht="27.6">
      <c r="A17" s="7">
        <f>A10*12</f>
        <v>4.9582064514529609</v>
      </c>
      <c r="B17" s="5" t="s">
        <v>43</v>
      </c>
      <c r="C17" s="5"/>
      <c r="D17" s="5"/>
      <c r="E17" s="5"/>
      <c r="F17" s="11" t="s">
        <v>1</v>
      </c>
      <c r="G17" s="6"/>
      <c r="H17" s="6"/>
      <c r="I17" s="6"/>
      <c r="J17" s="5"/>
      <c r="L17" s="166" t="s">
        <v>174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C17" s="164"/>
      <c r="AD17" s="164"/>
      <c r="AE17" s="167"/>
    </row>
    <row r="18" spans="1:31" s="1" customFormat="1" ht="53.25" customHeight="1">
      <c r="A18" s="10"/>
      <c r="B18" s="6"/>
      <c r="C18" s="6"/>
      <c r="D18" s="6"/>
      <c r="E18" s="6"/>
      <c r="F18" s="6"/>
      <c r="G18" s="6"/>
      <c r="H18" s="6"/>
      <c r="I18" s="6"/>
      <c r="J18" s="5"/>
      <c r="L18" s="168" t="s">
        <v>4</v>
      </c>
      <c r="M18" s="4">
        <v>43338</v>
      </c>
      <c r="N18" s="4">
        <v>43371</v>
      </c>
      <c r="O18" s="4">
        <v>43431</v>
      </c>
      <c r="P18" s="4">
        <v>43493</v>
      </c>
      <c r="Q18" s="4">
        <v>43517</v>
      </c>
      <c r="R18" s="4">
        <v>43549</v>
      </c>
      <c r="S18" s="4">
        <v>43580</v>
      </c>
      <c r="T18" s="4">
        <v>43637</v>
      </c>
      <c r="U18" s="4">
        <v>43670</v>
      </c>
      <c r="V18" s="4">
        <v>43706</v>
      </c>
      <c r="W18" s="4">
        <v>43738</v>
      </c>
      <c r="X18" s="4">
        <v>43768</v>
      </c>
      <c r="Y18" s="4">
        <v>43790</v>
      </c>
      <c r="Z18" s="4">
        <v>43810</v>
      </c>
      <c r="AA18" s="4">
        <v>43850</v>
      </c>
      <c r="AB18" s="55">
        <v>43883</v>
      </c>
      <c r="AC18" s="160" t="s">
        <v>3</v>
      </c>
      <c r="AD18" s="169" t="s">
        <v>59</v>
      </c>
      <c r="AE18" s="170" t="s">
        <v>37</v>
      </c>
    </row>
    <row r="19" spans="1:31" s="1" customFormat="1">
      <c r="L19" s="13" t="s">
        <v>237</v>
      </c>
      <c r="M19" s="171">
        <f>M12*24*30*9</f>
        <v>608.22512098220091</v>
      </c>
      <c r="N19" s="171">
        <f t="shared" ref="N19:P20" si="5">N12*24*30*9</f>
        <v>74.059805025312087</v>
      </c>
      <c r="O19" s="171">
        <f t="shared" si="5"/>
        <v>487.56182736939132</v>
      </c>
      <c r="P19" s="171">
        <f t="shared" si="5"/>
        <v>60.201602422211685</v>
      </c>
      <c r="Q19" s="171">
        <f t="shared" ref="Q19:AB19" si="6">Q12*24*30*9</f>
        <v>567.29304399393425</v>
      </c>
      <c r="R19" s="171">
        <f t="shared" si="6"/>
        <v>657.8145836203646</v>
      </c>
      <c r="S19" s="171">
        <f t="shared" si="6"/>
        <v>2042.3677305041736</v>
      </c>
      <c r="T19" s="171">
        <f t="shared" si="6"/>
        <v>256.03835958427283</v>
      </c>
      <c r="U19" s="171">
        <f t="shared" si="6"/>
        <v>1278.144055295656</v>
      </c>
      <c r="V19" s="171">
        <f t="shared" si="6"/>
        <v>533.87328836826953</v>
      </c>
      <c r="W19" s="171">
        <f t="shared" si="6"/>
        <v>93.201024501410615</v>
      </c>
      <c r="X19" s="171">
        <f t="shared" si="6"/>
        <v>642.28313264207577</v>
      </c>
      <c r="Y19" s="171">
        <f t="shared" si="6"/>
        <v>383.55904480372857</v>
      </c>
      <c r="Z19" s="171">
        <f t="shared" si="6"/>
        <v>324.00000000000006</v>
      </c>
      <c r="AA19" s="171">
        <f t="shared" si="6"/>
        <v>453.6</v>
      </c>
      <c r="AB19" s="171">
        <f t="shared" si="6"/>
        <v>453.6</v>
      </c>
      <c r="AC19" s="171">
        <f>3*AVERAGE(M19:V19)</f>
        <v>1969.6738251497363</v>
      </c>
      <c r="AD19" s="171">
        <f>SUM(M19:AC19)</f>
        <v>10885.496444262739</v>
      </c>
      <c r="AE19" s="172">
        <f>SUM(M19:AC19)/1000</f>
        <v>10.885496444262738</v>
      </c>
    </row>
    <row r="20" spans="1:31" s="1" customFormat="1">
      <c r="L20" s="13" t="s">
        <v>60</v>
      </c>
      <c r="M20" s="171">
        <v>23.232986460707298</v>
      </c>
      <c r="N20" s="171">
        <v>3.4541485880305767</v>
      </c>
      <c r="O20" s="171">
        <v>44.131836137948738</v>
      </c>
      <c r="P20" s="171">
        <f t="shared" si="5"/>
        <v>101.43074604120005</v>
      </c>
      <c r="Q20" s="171">
        <f t="shared" ref="Q20:AB20" si="7">Q13*24*30*9</f>
        <v>69.504326645689162</v>
      </c>
      <c r="R20" s="171">
        <f t="shared" si="7"/>
        <v>36.891573694181083</v>
      </c>
      <c r="S20" s="171">
        <f t="shared" si="7"/>
        <v>51.427586983337029</v>
      </c>
      <c r="T20" s="171">
        <f t="shared" si="7"/>
        <v>174.90120354582362</v>
      </c>
      <c r="U20" s="171">
        <f t="shared" si="7"/>
        <v>269.7210478502584</v>
      </c>
      <c r="V20" s="171">
        <f t="shared" si="7"/>
        <v>63.796154490389867</v>
      </c>
      <c r="W20" s="171">
        <f t="shared" si="7"/>
        <v>21.201938186937777</v>
      </c>
      <c r="X20" s="171">
        <f t="shared" si="7"/>
        <v>10.94382488215494</v>
      </c>
      <c r="Y20" s="171">
        <f t="shared" si="7"/>
        <v>55.905811773531525</v>
      </c>
      <c r="Z20" s="171">
        <f t="shared" si="7"/>
        <v>15.921358123312636</v>
      </c>
      <c r="AA20" s="171">
        <f t="shared" si="7"/>
        <v>19.529386022629506</v>
      </c>
      <c r="AB20" s="171">
        <f t="shared" si="7"/>
        <v>12.607319529554474</v>
      </c>
      <c r="AC20" s="171">
        <f>SUM(M30:V30)^0.5</f>
        <v>359.21299854507777</v>
      </c>
      <c r="AD20" s="171">
        <f>M32</f>
        <v>365.40738726573318</v>
      </c>
      <c r="AE20" s="172">
        <f>AD20/1000</f>
        <v>0.36540738726573319</v>
      </c>
    </row>
    <row r="21" spans="1:31" s="1" customFormat="1">
      <c r="L21" s="13" t="s">
        <v>79</v>
      </c>
      <c r="M21" s="171">
        <f>M14*24*30*9</f>
        <v>1646.0492415086539</v>
      </c>
      <c r="N21" s="171">
        <f t="shared" ref="N21:P22" si="8">N14*24*30*9</f>
        <v>125.60933628870998</v>
      </c>
      <c r="O21" s="171">
        <f t="shared" si="8"/>
        <v>8.2774542031190048</v>
      </c>
      <c r="P21" s="171">
        <f t="shared" si="8"/>
        <v>58.039420351898308</v>
      </c>
      <c r="Q21" s="171">
        <f t="shared" ref="Q21:AB21" si="9">Q14*24*30*9</f>
        <v>40.149031477491491</v>
      </c>
      <c r="R21" s="171">
        <f t="shared" si="9"/>
        <v>20.889880936232235</v>
      </c>
      <c r="S21" s="171">
        <f t="shared" si="9"/>
        <v>179.65366191966214</v>
      </c>
      <c r="T21" s="171">
        <f t="shared" si="9"/>
        <v>84.644722596234388</v>
      </c>
      <c r="U21" s="171">
        <f t="shared" si="9"/>
        <v>2235.3066167091893</v>
      </c>
      <c r="V21" s="171">
        <f t="shared" si="9"/>
        <v>57.314882439499051</v>
      </c>
      <c r="W21" s="171">
        <f t="shared" si="9"/>
        <v>38.367207267177719</v>
      </c>
      <c r="X21" s="171">
        <f t="shared" si="9"/>
        <v>50.42268023990497</v>
      </c>
      <c r="Y21" s="171">
        <f t="shared" si="9"/>
        <v>48.122829136272635</v>
      </c>
      <c r="Z21" s="171">
        <f t="shared" si="9"/>
        <v>4.5359999999999996</v>
      </c>
      <c r="AA21" s="171">
        <f t="shared" si="9"/>
        <v>-4.5359999999999996</v>
      </c>
      <c r="AB21" s="171">
        <f t="shared" si="9"/>
        <v>14.712429744546895</v>
      </c>
      <c r="AC21" s="171">
        <f>3*AVERAGE(M21:V21)</f>
        <v>1336.780274529207</v>
      </c>
      <c r="AD21" s="171">
        <f>SUM(M21:AC21)</f>
        <v>5944.3396693477989</v>
      </c>
      <c r="AE21" s="172">
        <f>SUM(M21:AC21)/1000</f>
        <v>5.9443396693477988</v>
      </c>
    </row>
    <row r="22" spans="1:31" s="1" customFormat="1">
      <c r="L22" s="173" t="s">
        <v>60</v>
      </c>
      <c r="M22" s="161">
        <v>79.825768969702438</v>
      </c>
      <c r="N22" s="161">
        <v>32.544452117160901</v>
      </c>
      <c r="O22" s="161">
        <v>7.1291692061565239</v>
      </c>
      <c r="P22" s="171">
        <f t="shared" si="8"/>
        <v>16.961872678581742</v>
      </c>
      <c r="Q22" s="171">
        <f t="shared" ref="Q22:AB22" si="10">Q15*24*30*9</f>
        <v>25.000067620493617</v>
      </c>
      <c r="R22" s="171">
        <f t="shared" si="10"/>
        <v>6.5870490220253091</v>
      </c>
      <c r="S22" s="171">
        <f t="shared" si="10"/>
        <v>154.3143428739024</v>
      </c>
      <c r="T22" s="171">
        <f t="shared" si="10"/>
        <v>7.6819995445562297</v>
      </c>
      <c r="U22" s="171">
        <f t="shared" si="10"/>
        <v>42.480157888772574</v>
      </c>
      <c r="V22" s="171">
        <f t="shared" si="10"/>
        <v>19.050703841981466</v>
      </c>
      <c r="W22" s="171">
        <f t="shared" si="10"/>
        <v>6.1996556386388475</v>
      </c>
      <c r="X22" s="171">
        <f t="shared" si="10"/>
        <v>4.8770010954273344</v>
      </c>
      <c r="Y22" s="171">
        <f t="shared" si="10"/>
        <v>7.1801646129345027</v>
      </c>
      <c r="Z22" s="171">
        <f t="shared" si="10"/>
        <v>1.1416660939453089</v>
      </c>
      <c r="AA22" s="171">
        <f t="shared" si="10"/>
        <v>2.5894363386536381</v>
      </c>
      <c r="AB22" s="171">
        <f t="shared" si="10"/>
        <v>0.40242825890659545</v>
      </c>
      <c r="AC22" s="161">
        <f>SUM(M31:V31)^0.5</f>
        <v>185.68155588030154</v>
      </c>
      <c r="AD22" s="161">
        <f>M33</f>
        <v>186.00964049813777</v>
      </c>
      <c r="AE22" s="174">
        <f>AD22/1000</f>
        <v>0.18600964049813776</v>
      </c>
    </row>
    <row r="23" spans="1:31" s="1" customFormat="1"/>
    <row r="30" spans="1:31" s="2" customFormat="1">
      <c r="L30" s="2" t="s">
        <v>80</v>
      </c>
      <c r="M30" s="2">
        <f>M20^2</f>
        <v>539.77165988340869</v>
      </c>
      <c r="N30" s="2">
        <f t="shared" ref="N30:Y30" si="11">N20^2</f>
        <v>11.931142468193627</v>
      </c>
      <c r="O30" s="2">
        <f t="shared" si="11"/>
        <v>1947.6189609067583</v>
      </c>
      <c r="P30" s="2">
        <f t="shared" si="11"/>
        <v>10288.19624247442</v>
      </c>
      <c r="Q30" s="2">
        <f t="shared" si="11"/>
        <v>4830.851422470656</v>
      </c>
      <c r="R30" s="2">
        <f t="shared" si="11"/>
        <v>1360.9882096331937</v>
      </c>
      <c r="S30" s="2">
        <f t="shared" si="11"/>
        <v>2644.796702928696</v>
      </c>
      <c r="T30" s="2">
        <f t="shared" si="11"/>
        <v>30590.431001777626</v>
      </c>
      <c r="U30" s="2">
        <f t="shared" si="11"/>
        <v>72749.443653441384</v>
      </c>
      <c r="V30" s="2">
        <f t="shared" si="11"/>
        <v>4069.9493277616912</v>
      </c>
      <c r="W30" s="2">
        <f t="shared" si="11"/>
        <v>449.52218288273036</v>
      </c>
      <c r="X30" s="2">
        <f t="shared" si="11"/>
        <v>119.7673030512736</v>
      </c>
      <c r="Y30" s="2">
        <f t="shared" si="11"/>
        <v>3125.4597900575359</v>
      </c>
      <c r="Z30" s="2">
        <f>Z20^2</f>
        <v>253.48964449077326</v>
      </c>
      <c r="AA30" s="2">
        <f>AA20^2</f>
        <v>381.39691842087672</v>
      </c>
      <c r="AB30" s="2">
        <f>AB20^2</f>
        <v>158.94450572028563</v>
      </c>
    </row>
    <row r="31" spans="1:31" s="2" customFormat="1">
      <c r="M31" s="2">
        <f>M22^2</f>
        <v>6372.1533916043081</v>
      </c>
      <c r="N31" s="2">
        <f t="shared" ref="N31:Y31" si="12">N22^2</f>
        <v>1059.1413636061786</v>
      </c>
      <c r="O31" s="2">
        <f t="shared" si="12"/>
        <v>50.825053570010439</v>
      </c>
      <c r="P31" s="2">
        <f t="shared" si="12"/>
        <v>287.70512476441775</v>
      </c>
      <c r="Q31" s="2">
        <f t="shared" si="12"/>
        <v>625.00338102925343</v>
      </c>
      <c r="R31" s="2">
        <f t="shared" si="12"/>
        <v>43.389214818564582</v>
      </c>
      <c r="S31" s="2">
        <f t="shared" si="12"/>
        <v>23812.916416604316</v>
      </c>
      <c r="T31" s="2">
        <f t="shared" si="12"/>
        <v>59.013117002562119</v>
      </c>
      <c r="U31" s="2">
        <f t="shared" si="12"/>
        <v>1804.5638142550467</v>
      </c>
      <c r="V31" s="2">
        <f t="shared" si="12"/>
        <v>362.92931687488738</v>
      </c>
      <c r="W31" s="2">
        <f t="shared" si="12"/>
        <v>38.435730037706456</v>
      </c>
      <c r="X31" s="2">
        <f t="shared" si="12"/>
        <v>23.785139684799418</v>
      </c>
      <c r="Y31" s="2">
        <f t="shared" si="12"/>
        <v>51.554763868836879</v>
      </c>
      <c r="Z31" s="2">
        <f>Z22^2</f>
        <v>1.303401470064339</v>
      </c>
      <c r="AA31" s="2">
        <f>AA22^2</f>
        <v>6.705180551939959</v>
      </c>
      <c r="AB31" s="2">
        <f>AB22^2</f>
        <v>0.16194850356659382</v>
      </c>
    </row>
    <row r="32" spans="1:31" s="2" customFormat="1">
      <c r="M32" s="2">
        <f>SUM(M30:AB30)^0.5</f>
        <v>365.40738726573318</v>
      </c>
    </row>
    <row r="33" spans="11:16" s="2" customFormat="1">
      <c r="M33" s="2">
        <f>SUM(M31:AB31)^0.5</f>
        <v>186.00964049813777</v>
      </c>
    </row>
    <row r="34" spans="11:16">
      <c r="K34" s="3"/>
      <c r="L34" s="3"/>
      <c r="M34" s="3"/>
      <c r="N34" s="3"/>
      <c r="O34" s="3"/>
      <c r="P34" s="3"/>
    </row>
    <row r="35" spans="11:16">
      <c r="K35" s="3"/>
      <c r="L35" s="3"/>
      <c r="M35" s="3"/>
      <c r="N35" s="3"/>
      <c r="O35" s="3"/>
      <c r="P35" s="3"/>
    </row>
    <row r="36" spans="11:16">
      <c r="K36" s="3"/>
      <c r="L36" s="3"/>
      <c r="M36" s="3"/>
      <c r="N36" s="3"/>
      <c r="O36" s="3"/>
      <c r="P36" s="3"/>
    </row>
    <row r="37" spans="11:16">
      <c r="K37" s="3"/>
      <c r="L37" s="3"/>
      <c r="M37" s="3"/>
      <c r="N37" s="3"/>
      <c r="O37" s="3"/>
      <c r="P37" s="3"/>
    </row>
    <row r="38" spans="11:16">
      <c r="K38" s="3"/>
      <c r="L38" s="3"/>
      <c r="M38" s="3"/>
      <c r="N38" s="3"/>
      <c r="O38" s="3"/>
      <c r="P38" s="3"/>
    </row>
    <row r="39" spans="11:16">
      <c r="K39" s="3"/>
      <c r="L39" s="19"/>
      <c r="M39" s="19"/>
      <c r="N39" s="19"/>
      <c r="O39" s="3"/>
      <c r="P39" s="3"/>
    </row>
    <row r="40" spans="11:16">
      <c r="K40" s="3"/>
      <c r="L40" s="14"/>
      <c r="M40" s="14"/>
      <c r="N40" s="14"/>
      <c r="O40" s="3"/>
      <c r="P40" s="3"/>
    </row>
    <row r="41" spans="11:16">
      <c r="K41" s="3"/>
      <c r="L41" s="14"/>
      <c r="M41" s="14"/>
      <c r="N41" s="14"/>
      <c r="O41" s="3"/>
      <c r="P41" s="3"/>
    </row>
    <row r="42" spans="11:16">
      <c r="K42" s="3"/>
      <c r="L42" s="14"/>
      <c r="M42" s="14"/>
      <c r="N42" s="14"/>
      <c r="O42" s="3"/>
      <c r="P42" s="3"/>
    </row>
    <row r="43" spans="11:16">
      <c r="K43" s="3"/>
      <c r="L43" s="14"/>
      <c r="M43" s="14"/>
      <c r="N43" s="14"/>
      <c r="O43" s="3"/>
      <c r="P43" s="3"/>
    </row>
    <row r="44" spans="11:16">
      <c r="K44" s="3"/>
      <c r="L44" s="14"/>
      <c r="M44" s="14"/>
      <c r="N44" s="14"/>
      <c r="O44" s="3"/>
      <c r="P44" s="3"/>
    </row>
    <row r="45" spans="11:16">
      <c r="K45" s="3"/>
      <c r="L45" s="14"/>
      <c r="M45" s="14"/>
      <c r="N45" s="14"/>
      <c r="O45" s="3"/>
      <c r="P45" s="3"/>
    </row>
    <row r="46" spans="11:16">
      <c r="K46" s="3"/>
      <c r="L46" s="14"/>
      <c r="M46" s="14"/>
      <c r="N46" s="14"/>
      <c r="O46" s="3"/>
      <c r="P46" s="3"/>
    </row>
    <row r="47" spans="11:16">
      <c r="K47" s="3"/>
      <c r="L47" s="14"/>
      <c r="M47" s="14"/>
      <c r="N47" s="14"/>
      <c r="O47" s="3"/>
      <c r="P47" s="3"/>
    </row>
    <row r="48" spans="11:16">
      <c r="K48" s="3"/>
      <c r="L48" s="14"/>
      <c r="M48" s="14"/>
      <c r="N48" s="14"/>
      <c r="O48" s="3"/>
      <c r="P48" s="3"/>
    </row>
    <row r="49" spans="11:16">
      <c r="K49" s="3"/>
      <c r="L49" s="14"/>
      <c r="M49" s="14"/>
      <c r="N49" s="14"/>
      <c r="O49" s="3"/>
      <c r="P49" s="3"/>
    </row>
    <row r="50" spans="11:16">
      <c r="K50" s="3"/>
      <c r="L50" s="3"/>
      <c r="M50" s="3"/>
      <c r="N50" s="3"/>
      <c r="O50" s="3"/>
      <c r="P50" s="3"/>
    </row>
    <row r="51" spans="11:16">
      <c r="K51" s="3"/>
      <c r="L51" s="3"/>
      <c r="M51" s="3"/>
      <c r="N51" s="3"/>
      <c r="O51" s="3"/>
      <c r="P51" s="3"/>
    </row>
    <row r="52" spans="11:16">
      <c r="K52" s="3"/>
      <c r="L52" s="3"/>
      <c r="M52" s="3"/>
      <c r="N52" s="3"/>
      <c r="O52" s="3"/>
      <c r="P52" s="3"/>
    </row>
  </sheetData>
  <mergeCells count="5">
    <mergeCell ref="L6:L7"/>
    <mergeCell ref="L4:L5"/>
    <mergeCell ref="L10:L11"/>
    <mergeCell ref="L12:L15"/>
    <mergeCell ref="L8:L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54"/>
  <sheetViews>
    <sheetView zoomScale="70" zoomScaleNormal="70" workbookViewId="0">
      <pane ySplit="2" topLeftCell="A8" activePane="bottomLeft" state="frozen"/>
      <selection pane="bottomLeft" activeCell="P39" sqref="P39"/>
    </sheetView>
  </sheetViews>
  <sheetFormatPr defaultColWidth="11.33203125" defaultRowHeight="14.4"/>
  <cols>
    <col min="1" max="1" width="18.33203125" style="23" customWidth="1"/>
    <col min="2" max="5" width="11.33203125" style="17"/>
    <col min="6" max="9" width="11.33203125" style="18"/>
    <col min="10" max="10" width="14.88671875" style="28" customWidth="1"/>
    <col min="11" max="11" width="24.33203125" style="28" customWidth="1"/>
    <col min="12" max="12" width="16.109375" style="62" customWidth="1"/>
    <col min="13" max="13" width="13.109375" style="28" customWidth="1"/>
    <col min="14" max="14" width="13.44140625" style="28" customWidth="1"/>
    <col min="15" max="15" width="18" style="18" customWidth="1"/>
    <col min="16" max="16" width="11.33203125" style="59"/>
    <col min="17" max="17" width="11.33203125" style="18"/>
    <col min="18" max="18" width="16" style="59" customWidth="1"/>
    <col min="19" max="19" width="16.109375" style="59" customWidth="1"/>
    <col min="20" max="20" width="11.33203125" style="18"/>
    <col min="21" max="21" width="16.109375" style="61" customWidth="1"/>
    <col min="22" max="22" width="19.44140625" style="28" customWidth="1"/>
    <col min="23" max="23" width="13.88671875" style="28" customWidth="1"/>
    <col min="24" max="24" width="11.33203125" style="28"/>
    <col min="25" max="25" width="22.5546875" style="28" customWidth="1"/>
    <col min="26" max="16384" width="11.33203125" style="28"/>
  </cols>
  <sheetData>
    <row r="1" spans="1:25" s="99" customFormat="1" ht="25.8">
      <c r="A1" s="96" t="s">
        <v>154</v>
      </c>
      <c r="B1" s="97"/>
      <c r="C1" s="97"/>
      <c r="D1" s="97"/>
      <c r="E1" s="97"/>
      <c r="F1" s="98"/>
      <c r="G1" s="98"/>
      <c r="H1" s="98"/>
      <c r="I1" s="98"/>
      <c r="L1" s="100"/>
      <c r="N1" s="175"/>
      <c r="O1" s="98"/>
      <c r="P1" s="101"/>
      <c r="Q1" s="175"/>
      <c r="R1" s="101"/>
      <c r="S1" s="101"/>
      <c r="T1" s="175"/>
      <c r="U1" s="101"/>
      <c r="V1" s="102" t="s">
        <v>63</v>
      </c>
      <c r="W1" s="103"/>
      <c r="X1" s="103"/>
      <c r="Y1" s="103"/>
    </row>
    <row r="2" spans="1:25" s="32" customFormat="1" ht="57.75" customHeight="1">
      <c r="A2" s="21" t="s">
        <v>6</v>
      </c>
      <c r="B2" s="22" t="s">
        <v>240</v>
      </c>
      <c r="C2" s="22" t="s">
        <v>151</v>
      </c>
      <c r="D2" s="22" t="s">
        <v>239</v>
      </c>
      <c r="E2" s="22" t="s">
        <v>152</v>
      </c>
      <c r="F2" s="22" t="s">
        <v>241</v>
      </c>
      <c r="G2" s="22" t="s">
        <v>242</v>
      </c>
      <c r="H2" s="22" t="s">
        <v>243</v>
      </c>
      <c r="I2" s="22" t="s">
        <v>244</v>
      </c>
      <c r="J2" s="31" t="s">
        <v>153</v>
      </c>
      <c r="K2" s="31" t="s">
        <v>77</v>
      </c>
      <c r="L2" s="63" t="s">
        <v>179</v>
      </c>
      <c r="M2" s="31" t="s">
        <v>245</v>
      </c>
      <c r="N2" s="22" t="s">
        <v>274</v>
      </c>
      <c r="O2" s="22" t="s">
        <v>246</v>
      </c>
      <c r="P2" s="60" t="s">
        <v>247</v>
      </c>
      <c r="Q2" s="22" t="s">
        <v>248</v>
      </c>
      <c r="R2" s="60"/>
      <c r="S2" s="60" t="s">
        <v>249</v>
      </c>
      <c r="T2" s="22" t="s">
        <v>78</v>
      </c>
      <c r="U2" s="176"/>
      <c r="V2" s="192" t="s">
        <v>163</v>
      </c>
      <c r="W2" s="192"/>
      <c r="X2" s="192"/>
      <c r="Y2" s="192"/>
    </row>
    <row r="3" spans="1:25" ht="53.25" customHeight="1">
      <c r="A3" s="23">
        <v>43336</v>
      </c>
      <c r="B3" s="28">
        <v>15.200000000000003</v>
      </c>
      <c r="C3" s="17" t="s">
        <v>76</v>
      </c>
      <c r="D3" s="17">
        <v>20.600000000000009</v>
      </c>
      <c r="E3" s="17" t="s">
        <v>76</v>
      </c>
      <c r="F3" s="18">
        <v>122.9</v>
      </c>
      <c r="G3" s="17" t="s">
        <v>76</v>
      </c>
      <c r="H3" s="18">
        <v>123.4</v>
      </c>
      <c r="I3" s="17" t="s">
        <v>76</v>
      </c>
      <c r="V3" s="192"/>
      <c r="W3" s="192"/>
      <c r="X3" s="192"/>
      <c r="Y3" s="192"/>
    </row>
    <row r="4" spans="1:25" ht="20.7" customHeight="1">
      <c r="A4" s="23">
        <v>43371</v>
      </c>
      <c r="B4" s="28">
        <v>13.600000000000009</v>
      </c>
      <c r="C4" s="17" t="s">
        <v>76</v>
      </c>
      <c r="D4" s="17">
        <v>20.839999999999989</v>
      </c>
      <c r="E4" s="17" t="s">
        <v>76</v>
      </c>
      <c r="F4" s="18">
        <v>119.4</v>
      </c>
      <c r="G4" s="17" t="s">
        <v>76</v>
      </c>
      <c r="H4" s="18">
        <v>96.38</v>
      </c>
      <c r="I4" s="17" t="s">
        <v>76</v>
      </c>
      <c r="J4" s="28">
        <v>13.2</v>
      </c>
      <c r="K4" s="28" t="s">
        <v>7</v>
      </c>
      <c r="L4" s="62">
        <v>35</v>
      </c>
      <c r="M4" s="28">
        <v>0.3</v>
      </c>
      <c r="N4" s="28">
        <f>M4*L4</f>
        <v>10.5</v>
      </c>
      <c r="O4" s="18">
        <f>J4*9-N4*9</f>
        <v>24.299999999999997</v>
      </c>
      <c r="P4" s="59">
        <f t="shared" ref="P4:P37" si="0">O4*F4/1000</f>
        <v>2.9014199999999994</v>
      </c>
      <c r="S4" s="59">
        <f t="shared" ref="S4:S37" si="1">O4*H4/1000</f>
        <v>2.3420339999999995</v>
      </c>
      <c r="V4" s="192" t="s">
        <v>162</v>
      </c>
      <c r="W4" s="192"/>
      <c r="X4" s="192"/>
      <c r="Y4" s="192"/>
    </row>
    <row r="5" spans="1:25" ht="20.7" customHeight="1">
      <c r="A5" s="23">
        <v>43385</v>
      </c>
      <c r="B5" s="17">
        <v>12.77</v>
      </c>
      <c r="C5" s="17" t="s">
        <v>76</v>
      </c>
      <c r="D5" s="17">
        <v>18.290000000000006</v>
      </c>
      <c r="E5" s="17" t="s">
        <v>76</v>
      </c>
      <c r="F5" s="18">
        <v>102.9</v>
      </c>
      <c r="G5" s="17" t="s">
        <v>76</v>
      </c>
      <c r="H5" s="18">
        <v>85.65</v>
      </c>
      <c r="I5" s="17" t="s">
        <v>76</v>
      </c>
      <c r="J5" s="28">
        <v>7.44</v>
      </c>
      <c r="K5" s="28" t="s">
        <v>8</v>
      </c>
      <c r="L5" s="62">
        <v>14</v>
      </c>
      <c r="M5" s="28">
        <v>0.2</v>
      </c>
      <c r="N5" s="28">
        <f t="shared" ref="N5:N34" si="2">M5*L5</f>
        <v>2.8000000000000003</v>
      </c>
      <c r="O5" s="18">
        <f t="shared" ref="O5:O37" si="3">J5*9-N5*9</f>
        <v>41.760000000000005</v>
      </c>
      <c r="P5" s="59">
        <f t="shared" si="0"/>
        <v>4.2971040000000009</v>
      </c>
      <c r="S5" s="59">
        <f t="shared" si="1"/>
        <v>3.5767440000000006</v>
      </c>
      <c r="V5" s="192"/>
      <c r="W5" s="192"/>
      <c r="X5" s="192"/>
      <c r="Y5" s="192"/>
    </row>
    <row r="6" spans="1:25" ht="20.7" customHeight="1">
      <c r="A6" s="23">
        <v>43402</v>
      </c>
      <c r="B6" s="17">
        <v>14.340000000000003</v>
      </c>
      <c r="C6" s="17" t="s">
        <v>76</v>
      </c>
      <c r="D6" s="17">
        <v>21.570000000000007</v>
      </c>
      <c r="E6" s="17" t="s">
        <v>76</v>
      </c>
      <c r="F6" s="18">
        <v>96.94</v>
      </c>
      <c r="G6" s="17" t="s">
        <v>76</v>
      </c>
      <c r="H6" s="18">
        <v>90.23</v>
      </c>
      <c r="I6" s="17" t="s">
        <v>76</v>
      </c>
      <c r="J6" s="28">
        <v>4.3899999999999997</v>
      </c>
      <c r="K6" s="28" t="s">
        <v>9</v>
      </c>
      <c r="L6" s="62">
        <v>16</v>
      </c>
      <c r="M6" s="28">
        <v>0.2</v>
      </c>
      <c r="N6" s="28">
        <f t="shared" si="2"/>
        <v>3.2</v>
      </c>
      <c r="O6" s="18">
        <f t="shared" si="3"/>
        <v>10.709999999999997</v>
      </c>
      <c r="P6" s="59">
        <f t="shared" si="0"/>
        <v>1.0382273999999998</v>
      </c>
      <c r="S6" s="59">
        <f t="shared" si="1"/>
        <v>0.9663632999999997</v>
      </c>
      <c r="V6" s="192"/>
      <c r="W6" s="192"/>
      <c r="X6" s="192"/>
      <c r="Y6" s="192"/>
    </row>
    <row r="7" spans="1:25">
      <c r="A7" s="23">
        <v>43416</v>
      </c>
      <c r="B7" s="28">
        <v>13.060000000000002</v>
      </c>
      <c r="C7" s="17" t="s">
        <v>76</v>
      </c>
      <c r="D7" s="25">
        <v>20.92</v>
      </c>
      <c r="E7" s="17" t="s">
        <v>76</v>
      </c>
      <c r="F7" s="18">
        <v>93.89</v>
      </c>
      <c r="G7" s="17" t="s">
        <v>76</v>
      </c>
      <c r="H7" s="18">
        <v>87.2</v>
      </c>
      <c r="I7" s="17" t="s">
        <v>76</v>
      </c>
      <c r="J7" s="28">
        <v>5.12</v>
      </c>
      <c r="K7" s="28" t="s">
        <v>10</v>
      </c>
      <c r="L7" s="62">
        <v>14</v>
      </c>
      <c r="M7" s="28">
        <v>0.2</v>
      </c>
      <c r="N7" s="28">
        <f t="shared" si="2"/>
        <v>2.8000000000000003</v>
      </c>
      <c r="O7" s="18">
        <f t="shared" si="3"/>
        <v>20.879999999999995</v>
      </c>
      <c r="P7" s="59">
        <f t="shared" si="0"/>
        <v>1.9604231999999995</v>
      </c>
      <c r="S7" s="59">
        <f t="shared" si="1"/>
        <v>1.8207359999999997</v>
      </c>
      <c r="V7" s="192"/>
      <c r="W7" s="192"/>
      <c r="X7" s="192"/>
      <c r="Y7" s="192"/>
    </row>
    <row r="8" spans="1:25">
      <c r="A8" s="23">
        <v>43795</v>
      </c>
      <c r="B8" s="28">
        <v>11.060000000000002</v>
      </c>
      <c r="C8" s="17" t="s">
        <v>76</v>
      </c>
      <c r="D8" s="25">
        <v>20.659999999999997</v>
      </c>
      <c r="E8" s="17" t="s">
        <v>76</v>
      </c>
      <c r="F8" s="18">
        <v>92.66</v>
      </c>
      <c r="G8" s="17" t="s">
        <v>76</v>
      </c>
      <c r="H8" s="18">
        <v>85.07</v>
      </c>
      <c r="I8" s="17" t="s">
        <v>76</v>
      </c>
      <c r="J8" s="28">
        <v>11.76</v>
      </c>
      <c r="K8" s="28" t="s">
        <v>11</v>
      </c>
      <c r="L8" s="62">
        <v>14</v>
      </c>
      <c r="M8" s="28">
        <v>0.2</v>
      </c>
      <c r="N8" s="28">
        <f t="shared" si="2"/>
        <v>2.8000000000000003</v>
      </c>
      <c r="O8" s="18">
        <f t="shared" si="3"/>
        <v>80.64</v>
      </c>
      <c r="P8" s="59">
        <f t="shared" si="0"/>
        <v>7.4721023999999998</v>
      </c>
      <c r="S8" s="59">
        <f t="shared" si="1"/>
        <v>6.8600447999999998</v>
      </c>
      <c r="V8" s="192"/>
      <c r="W8" s="192"/>
      <c r="X8" s="192"/>
      <c r="Y8" s="192"/>
    </row>
    <row r="9" spans="1:25">
      <c r="A9" s="23">
        <v>43806</v>
      </c>
      <c r="B9" s="28">
        <v>10.150000000000006</v>
      </c>
      <c r="C9" s="17" t="s">
        <v>76</v>
      </c>
      <c r="D9" s="25">
        <v>15.680000000000007</v>
      </c>
      <c r="E9" s="17" t="s">
        <v>76</v>
      </c>
      <c r="F9" s="18">
        <v>90.67</v>
      </c>
      <c r="G9" s="17" t="s">
        <v>76</v>
      </c>
      <c r="H9" s="18">
        <v>84.67</v>
      </c>
      <c r="I9" s="17" t="s">
        <v>76</v>
      </c>
      <c r="J9" s="28">
        <v>6.67</v>
      </c>
      <c r="K9" s="28" t="s">
        <v>12</v>
      </c>
      <c r="L9" s="62">
        <v>12</v>
      </c>
      <c r="M9" s="28">
        <v>0.2</v>
      </c>
      <c r="N9" s="28">
        <f t="shared" si="2"/>
        <v>2.4000000000000004</v>
      </c>
      <c r="O9" s="18">
        <f t="shared" si="3"/>
        <v>38.43</v>
      </c>
      <c r="P9" s="59">
        <f t="shared" si="0"/>
        <v>3.4844481000000003</v>
      </c>
      <c r="S9" s="59">
        <f t="shared" si="1"/>
        <v>3.2538681</v>
      </c>
    </row>
    <row r="10" spans="1:25">
      <c r="A10" s="23">
        <v>43469</v>
      </c>
      <c r="B10" s="28">
        <v>11.030000000000001</v>
      </c>
      <c r="C10" s="17" t="s">
        <v>76</v>
      </c>
      <c r="D10" s="25">
        <v>20.420000000000002</v>
      </c>
      <c r="E10" s="17" t="s">
        <v>76</v>
      </c>
      <c r="F10" s="18">
        <v>98.04</v>
      </c>
      <c r="G10" s="17" t="s">
        <v>76</v>
      </c>
      <c r="H10" s="18">
        <v>84.81</v>
      </c>
      <c r="I10" s="17" t="s">
        <v>76</v>
      </c>
      <c r="J10" s="28">
        <v>10.210000000000001</v>
      </c>
      <c r="K10" s="28" t="s">
        <v>13</v>
      </c>
      <c r="L10" s="62">
        <v>28</v>
      </c>
      <c r="M10" s="28">
        <v>0.05</v>
      </c>
      <c r="N10" s="28">
        <f t="shared" si="2"/>
        <v>1.4000000000000001</v>
      </c>
      <c r="O10" s="18">
        <f t="shared" si="3"/>
        <v>79.29000000000002</v>
      </c>
      <c r="P10" s="59">
        <f t="shared" si="0"/>
        <v>7.7735916000000023</v>
      </c>
      <c r="S10" s="59">
        <f t="shared" si="1"/>
        <v>6.7245849000000018</v>
      </c>
    </row>
    <row r="11" spans="1:25">
      <c r="A11" s="23">
        <v>43497</v>
      </c>
      <c r="B11" s="28">
        <v>23.47</v>
      </c>
      <c r="C11" s="17" t="s">
        <v>76</v>
      </c>
      <c r="D11" s="17">
        <v>22.969999999999992</v>
      </c>
      <c r="E11" s="17" t="s">
        <v>76</v>
      </c>
      <c r="F11" s="18">
        <v>94.96</v>
      </c>
      <c r="G11" s="17" t="s">
        <v>76</v>
      </c>
      <c r="H11" s="18">
        <v>83.57</v>
      </c>
      <c r="I11" s="17" t="s">
        <v>76</v>
      </c>
      <c r="J11" s="28">
        <v>31.8</v>
      </c>
      <c r="K11" s="28" t="s">
        <v>14</v>
      </c>
      <c r="L11" s="62">
        <v>28</v>
      </c>
      <c r="M11" s="28">
        <v>0.05</v>
      </c>
      <c r="N11" s="28">
        <f t="shared" si="2"/>
        <v>1.4000000000000001</v>
      </c>
      <c r="O11" s="18">
        <f t="shared" si="3"/>
        <v>273.59999999999997</v>
      </c>
      <c r="P11" s="59">
        <f t="shared" si="0"/>
        <v>25.981055999999995</v>
      </c>
      <c r="S11" s="59">
        <f t="shared" si="1"/>
        <v>22.864751999999996</v>
      </c>
    </row>
    <row r="12" spans="1:25">
      <c r="A12" s="30">
        <v>43511</v>
      </c>
      <c r="B12" s="28">
        <v>1.595000000000006</v>
      </c>
      <c r="C12" s="25">
        <v>1.2374368670764482</v>
      </c>
      <c r="D12" s="17">
        <v>8.1100000000000065</v>
      </c>
      <c r="E12" s="17">
        <v>5.6568542494922595E-2</v>
      </c>
      <c r="F12" s="18">
        <v>90.784999999999997</v>
      </c>
      <c r="G12" s="18">
        <v>0.7000357133746784</v>
      </c>
      <c r="H12" s="18">
        <v>81.575000000000003</v>
      </c>
      <c r="I12" s="18">
        <v>0.57275649276110507</v>
      </c>
      <c r="J12" s="28">
        <v>14.9</v>
      </c>
      <c r="K12" s="28" t="s">
        <v>15</v>
      </c>
      <c r="L12" s="62">
        <v>14</v>
      </c>
      <c r="M12" s="28">
        <v>0.05</v>
      </c>
      <c r="N12" s="28">
        <f t="shared" si="2"/>
        <v>0.70000000000000007</v>
      </c>
      <c r="O12" s="18">
        <f t="shared" si="3"/>
        <v>127.8</v>
      </c>
      <c r="P12" s="59">
        <f t="shared" si="0"/>
        <v>11.602322999999998</v>
      </c>
      <c r="Q12" s="18">
        <f>O12*G12/1000</f>
        <v>8.9464564169283903E-2</v>
      </c>
      <c r="R12" s="59">
        <f t="shared" ref="R12:R37" si="4">Q12^2</f>
        <v>8.0039082419999172E-3</v>
      </c>
      <c r="S12" s="59">
        <f t="shared" si="1"/>
        <v>10.425285000000001</v>
      </c>
      <c r="T12" s="18">
        <f>O12*I12/1000</f>
        <v>7.3198279774869215E-2</v>
      </c>
      <c r="U12" s="61">
        <f t="shared" ref="U12:U34" si="5">T12^2</f>
        <v>5.3579881620000273E-3</v>
      </c>
    </row>
    <row r="13" spans="1:25">
      <c r="A13" s="26">
        <v>43525</v>
      </c>
      <c r="B13" s="17" t="s">
        <v>76</v>
      </c>
      <c r="C13" s="17" t="s">
        <v>76</v>
      </c>
      <c r="D13" s="17">
        <v>9.1750000000000043</v>
      </c>
      <c r="E13" s="17">
        <v>0.17677669529664694</v>
      </c>
      <c r="F13" s="18">
        <v>85.210000000000008</v>
      </c>
      <c r="G13" s="18">
        <v>0.24041630560341851</v>
      </c>
      <c r="H13" s="18">
        <v>82.77000000000001</v>
      </c>
      <c r="I13" s="18">
        <v>0.53740115370177977</v>
      </c>
      <c r="J13" s="28">
        <v>5.8</v>
      </c>
      <c r="K13" s="28" t="s">
        <v>16</v>
      </c>
      <c r="L13" s="62">
        <v>15</v>
      </c>
      <c r="M13" s="28">
        <v>0.05</v>
      </c>
      <c r="N13" s="28">
        <f t="shared" si="2"/>
        <v>0.75</v>
      </c>
      <c r="O13" s="18">
        <f t="shared" si="3"/>
        <v>45.449999999999996</v>
      </c>
      <c r="P13" s="59">
        <f t="shared" si="0"/>
        <v>3.8727944999999999</v>
      </c>
      <c r="Q13" s="18">
        <f t="shared" ref="Q13:Q37" si="6">O13*G13/1000</f>
        <v>1.0926921089675369E-2</v>
      </c>
      <c r="R13" s="59">
        <f t="shared" si="4"/>
        <v>1.1939760449999235E-4</v>
      </c>
      <c r="S13" s="59">
        <f t="shared" si="1"/>
        <v>3.7618965000000002</v>
      </c>
      <c r="T13" s="18">
        <f t="shared" ref="T13:T37" si="7">O13*I13/1000</f>
        <v>2.4424882435745889E-2</v>
      </c>
      <c r="U13" s="61">
        <f t="shared" si="5"/>
        <v>5.9657488200000807E-4</v>
      </c>
    </row>
    <row r="14" spans="1:25">
      <c r="A14" s="23">
        <v>43539</v>
      </c>
      <c r="B14" s="28">
        <v>8.539999999999992</v>
      </c>
      <c r="C14" s="25" t="s">
        <v>76</v>
      </c>
      <c r="D14" s="17">
        <v>18.645000000000003</v>
      </c>
      <c r="E14" s="17">
        <v>0.26162950903901577</v>
      </c>
      <c r="F14" s="18">
        <v>99.49</v>
      </c>
      <c r="G14" s="17"/>
      <c r="H14" s="18">
        <v>100.73</v>
      </c>
      <c r="I14" s="18">
        <v>1.3717871555019006</v>
      </c>
      <c r="J14" s="28">
        <v>40.1</v>
      </c>
      <c r="K14" s="28" t="s">
        <v>17</v>
      </c>
      <c r="L14" s="62">
        <v>14</v>
      </c>
      <c r="M14" s="28">
        <v>0.05</v>
      </c>
      <c r="N14" s="28">
        <f t="shared" si="2"/>
        <v>0.70000000000000007</v>
      </c>
      <c r="O14" s="18">
        <f t="shared" si="3"/>
        <v>354.6</v>
      </c>
      <c r="P14" s="59">
        <f t="shared" si="0"/>
        <v>35.279154000000005</v>
      </c>
      <c r="Q14" s="18">
        <f t="shared" si="6"/>
        <v>0</v>
      </c>
      <c r="R14" s="59">
        <f t="shared" si="4"/>
        <v>0</v>
      </c>
      <c r="S14" s="59">
        <f t="shared" si="1"/>
        <v>35.718857999999997</v>
      </c>
      <c r="T14" s="18">
        <f t="shared" si="7"/>
        <v>0.48643572534097401</v>
      </c>
      <c r="U14" s="61">
        <f t="shared" si="5"/>
        <v>0.23661971488799952</v>
      </c>
    </row>
    <row r="15" spans="1:25">
      <c r="A15" s="23">
        <v>43556</v>
      </c>
      <c r="B15" s="28">
        <v>13.809999999999995</v>
      </c>
      <c r="C15" s="17">
        <v>3.8042344827836314</v>
      </c>
      <c r="D15" s="17">
        <v>19.605</v>
      </c>
      <c r="E15" s="17">
        <v>2.2132442251138804</v>
      </c>
      <c r="F15" s="18">
        <v>102.07499999999999</v>
      </c>
      <c r="G15" s="18">
        <v>3.5708892449920628</v>
      </c>
      <c r="H15" s="18">
        <v>101.65</v>
      </c>
      <c r="I15" s="18">
        <v>1.3435028842544343</v>
      </c>
      <c r="J15" s="28">
        <v>23.5</v>
      </c>
      <c r="K15" s="28" t="s">
        <v>18</v>
      </c>
      <c r="L15" s="62">
        <v>16</v>
      </c>
      <c r="M15" s="28">
        <v>0.2</v>
      </c>
      <c r="N15" s="28">
        <f t="shared" si="2"/>
        <v>3.2</v>
      </c>
      <c r="O15" s="18">
        <f t="shared" si="3"/>
        <v>182.7</v>
      </c>
      <c r="P15" s="59">
        <f t="shared" si="0"/>
        <v>18.649102499999998</v>
      </c>
      <c r="Q15" s="18">
        <f t="shared" si="6"/>
        <v>0.65240146506004992</v>
      </c>
      <c r="R15" s="59">
        <f t="shared" si="4"/>
        <v>0.42562767161249954</v>
      </c>
      <c r="S15" s="59">
        <f t="shared" si="1"/>
        <v>18.571454999999997</v>
      </c>
      <c r="T15" s="18">
        <f t="shared" si="7"/>
        <v>0.24545797695328514</v>
      </c>
      <c r="U15" s="61">
        <f t="shared" si="5"/>
        <v>6.0249618449999459E-2</v>
      </c>
    </row>
    <row r="16" spans="1:25">
      <c r="A16" s="23">
        <v>43567</v>
      </c>
      <c r="B16" s="28">
        <v>12.649999999999991</v>
      </c>
      <c r="C16" s="25" t="s">
        <v>76</v>
      </c>
      <c r="D16" s="17">
        <v>22.134999999999998</v>
      </c>
      <c r="E16" s="17">
        <v>3.0334880912902933</v>
      </c>
      <c r="F16" s="18">
        <v>97.96</v>
      </c>
      <c r="G16" s="17"/>
      <c r="H16" s="18">
        <v>103.35</v>
      </c>
      <c r="I16" s="18">
        <v>0.77781745930520829</v>
      </c>
      <c r="J16" s="28">
        <v>25.6</v>
      </c>
      <c r="K16" s="28" t="s">
        <v>19</v>
      </c>
      <c r="L16" s="62">
        <v>10</v>
      </c>
      <c r="M16" s="28">
        <v>0.2</v>
      </c>
      <c r="N16" s="28">
        <f t="shared" si="2"/>
        <v>2</v>
      </c>
      <c r="O16" s="18">
        <f t="shared" si="3"/>
        <v>212.4</v>
      </c>
      <c r="P16" s="59">
        <f t="shared" si="0"/>
        <v>20.806703999999996</v>
      </c>
      <c r="Q16" s="18">
        <f t="shared" si="6"/>
        <v>0</v>
      </c>
      <c r="R16" s="59">
        <f t="shared" si="4"/>
        <v>0</v>
      </c>
      <c r="S16" s="59">
        <f t="shared" si="1"/>
        <v>21.951540000000001</v>
      </c>
      <c r="T16" s="18">
        <f t="shared" si="7"/>
        <v>0.16520842835642624</v>
      </c>
      <c r="U16" s="61">
        <f t="shared" si="5"/>
        <v>2.7293824800000421E-2</v>
      </c>
    </row>
    <row r="17" spans="1:28">
      <c r="A17" s="23">
        <v>43581</v>
      </c>
      <c r="B17" s="28">
        <v>19.055</v>
      </c>
      <c r="C17" s="17">
        <v>0.6434671708797659</v>
      </c>
      <c r="D17" s="17">
        <v>23.645000000000003</v>
      </c>
      <c r="E17" s="17">
        <v>3.8678740930904199</v>
      </c>
      <c r="F17" s="18">
        <v>98.039999999999992</v>
      </c>
      <c r="G17" s="18">
        <v>2.8284271247466325E-2</v>
      </c>
      <c r="H17" s="18">
        <v>95.93</v>
      </c>
      <c r="I17" s="18">
        <v>3.0971277015970848</v>
      </c>
      <c r="J17" s="28">
        <v>3.5</v>
      </c>
      <c r="K17" s="28" t="s">
        <v>20</v>
      </c>
      <c r="L17" s="62">
        <v>14</v>
      </c>
      <c r="M17" s="28">
        <v>0.2</v>
      </c>
      <c r="N17" s="28">
        <f t="shared" si="2"/>
        <v>2.8000000000000003</v>
      </c>
      <c r="O17" s="18">
        <f t="shared" si="3"/>
        <v>6.2999999999999972</v>
      </c>
      <c r="P17" s="59">
        <f t="shared" si="0"/>
        <v>0.61765199999999976</v>
      </c>
      <c r="Q17" s="18">
        <f t="shared" si="6"/>
        <v>1.7819090885903778E-4</v>
      </c>
      <c r="R17" s="59">
        <f t="shared" si="4"/>
        <v>3.1752000000009912E-8</v>
      </c>
      <c r="S17" s="59">
        <f t="shared" si="1"/>
        <v>0.60435899999999976</v>
      </c>
      <c r="T17" s="18">
        <f t="shared" si="7"/>
        <v>1.9511904520061626E-2</v>
      </c>
      <c r="U17" s="61">
        <f t="shared" si="5"/>
        <v>3.807144180000013E-4</v>
      </c>
    </row>
    <row r="18" spans="1:28">
      <c r="A18" s="23">
        <v>43595</v>
      </c>
      <c r="B18" s="28">
        <v>18.749999999999993</v>
      </c>
      <c r="C18" s="17">
        <v>0.48083261120684706</v>
      </c>
      <c r="D18" s="17">
        <v>26.64</v>
      </c>
      <c r="E18" s="17">
        <v>1.2303657992645991</v>
      </c>
      <c r="F18" s="18">
        <v>95.894999999999996</v>
      </c>
      <c r="G18" s="18">
        <v>6.3639610306791689E-2</v>
      </c>
      <c r="H18" s="18">
        <v>102.9</v>
      </c>
      <c r="I18" s="18">
        <v>0.42426406871193451</v>
      </c>
      <c r="J18" s="28">
        <v>34.4</v>
      </c>
      <c r="K18" s="28" t="s">
        <v>21</v>
      </c>
      <c r="L18" s="62">
        <v>14</v>
      </c>
      <c r="M18" s="28">
        <v>0.2</v>
      </c>
      <c r="N18" s="28">
        <f t="shared" si="2"/>
        <v>2.8000000000000003</v>
      </c>
      <c r="O18" s="18">
        <f t="shared" si="3"/>
        <v>284.39999999999998</v>
      </c>
      <c r="P18" s="59">
        <f t="shared" si="0"/>
        <v>27.272537999999997</v>
      </c>
      <c r="Q18" s="18">
        <f t="shared" si="6"/>
        <v>1.8099105171251555E-2</v>
      </c>
      <c r="R18" s="59">
        <f t="shared" si="4"/>
        <v>3.275776080000248E-4</v>
      </c>
      <c r="S18" s="59">
        <f t="shared" si="1"/>
        <v>29.264759999999999</v>
      </c>
      <c r="T18" s="18">
        <f t="shared" si="7"/>
        <v>0.12066070114167417</v>
      </c>
      <c r="U18" s="61">
        <f t="shared" si="5"/>
        <v>1.455900480000041E-2</v>
      </c>
      <c r="V18" s="18"/>
    </row>
    <row r="19" spans="1:28">
      <c r="A19" s="23">
        <v>43608</v>
      </c>
      <c r="B19" s="28">
        <v>4.3500000000000014</v>
      </c>
      <c r="C19" s="17">
        <v>1.1313708498984796</v>
      </c>
      <c r="D19" s="17">
        <v>11.679999999999993</v>
      </c>
      <c r="E19" s="17">
        <v>1.0323759005323649</v>
      </c>
      <c r="F19" s="18">
        <v>89.2</v>
      </c>
      <c r="G19" s="18">
        <v>1.4142135623730951</v>
      </c>
      <c r="H19" s="18">
        <v>95.65</v>
      </c>
      <c r="I19" s="18">
        <v>1.0889444430272877</v>
      </c>
      <c r="J19" s="28">
        <v>3.5</v>
      </c>
      <c r="K19" s="28" t="s">
        <v>22</v>
      </c>
      <c r="L19" s="62">
        <v>14</v>
      </c>
      <c r="M19" s="28">
        <v>0.2</v>
      </c>
      <c r="N19" s="28">
        <f t="shared" si="2"/>
        <v>2.8000000000000003</v>
      </c>
      <c r="O19" s="18">
        <f t="shared" si="3"/>
        <v>6.2999999999999972</v>
      </c>
      <c r="P19" s="59">
        <f t="shared" si="0"/>
        <v>0.56195999999999979</v>
      </c>
      <c r="Q19" s="18">
        <f t="shared" si="6"/>
        <v>8.9095454429504953E-3</v>
      </c>
      <c r="R19" s="59">
        <f t="shared" si="4"/>
        <v>7.9379999999999935E-5</v>
      </c>
      <c r="S19" s="59">
        <f t="shared" si="1"/>
        <v>0.60259499999999977</v>
      </c>
      <c r="T19" s="18">
        <f t="shared" si="7"/>
        <v>6.8603499910719094E-3</v>
      </c>
      <c r="U19" s="61">
        <f t="shared" si="5"/>
        <v>4.7064402000000347E-5</v>
      </c>
    </row>
    <row r="20" spans="1:28">
      <c r="A20" s="23">
        <v>43616</v>
      </c>
      <c r="B20" s="28">
        <v>6.8349999999999937</v>
      </c>
      <c r="C20" s="17">
        <v>0.30405591591022024</v>
      </c>
      <c r="D20" s="17">
        <v>15.399999999999999</v>
      </c>
      <c r="E20" s="17">
        <v>0.46669047558312898</v>
      </c>
      <c r="F20" s="18">
        <v>89.215000000000003</v>
      </c>
      <c r="G20" s="18">
        <v>0.20506096654410322</v>
      </c>
      <c r="H20" s="18">
        <v>98.759999999999991</v>
      </c>
      <c r="I20" s="27">
        <v>0.80610173055266454</v>
      </c>
      <c r="J20" s="28">
        <v>22.8</v>
      </c>
      <c r="K20" s="28" t="s">
        <v>23</v>
      </c>
      <c r="L20" s="62">
        <v>7</v>
      </c>
      <c r="M20" s="28">
        <v>0.2</v>
      </c>
      <c r="N20" s="28">
        <f t="shared" si="2"/>
        <v>1.4000000000000001</v>
      </c>
      <c r="O20" s="18">
        <f t="shared" si="3"/>
        <v>192.60000000000002</v>
      </c>
      <c r="P20" s="59">
        <f t="shared" si="0"/>
        <v>17.182809000000002</v>
      </c>
      <c r="Q20" s="18">
        <f t="shared" si="6"/>
        <v>3.9494742156394279E-2</v>
      </c>
      <c r="R20" s="59">
        <f t="shared" si="4"/>
        <v>1.5598346580000674E-3</v>
      </c>
      <c r="S20" s="59">
        <f t="shared" si="1"/>
        <v>19.021176000000001</v>
      </c>
      <c r="T20" s="18">
        <f t="shared" si="7"/>
        <v>0.15525519330444321</v>
      </c>
      <c r="U20" s="61">
        <f t="shared" si="5"/>
        <v>2.4104175048000026E-2</v>
      </c>
    </row>
    <row r="21" spans="1:28">
      <c r="A21" s="23">
        <v>43626</v>
      </c>
      <c r="B21" s="28">
        <v>6.8649999999999949</v>
      </c>
      <c r="C21" s="17">
        <v>0.43133513652378352</v>
      </c>
      <c r="D21" s="17">
        <v>14.100000000000001</v>
      </c>
      <c r="E21" s="17">
        <v>0.18384776310850598</v>
      </c>
      <c r="F21" s="18">
        <v>89.125</v>
      </c>
      <c r="G21" s="18">
        <v>7.7781745930529875E-2</v>
      </c>
      <c r="H21" s="18">
        <v>96.284999999999997</v>
      </c>
      <c r="I21" s="18">
        <v>0.48790367901871617</v>
      </c>
      <c r="J21" s="28">
        <v>65.7</v>
      </c>
      <c r="K21" s="28" t="s">
        <v>24</v>
      </c>
      <c r="L21" s="62">
        <v>10</v>
      </c>
      <c r="M21" s="28">
        <v>0.2</v>
      </c>
      <c r="N21" s="28">
        <f t="shared" si="2"/>
        <v>2</v>
      </c>
      <c r="O21" s="18">
        <f t="shared" si="3"/>
        <v>573.30000000000007</v>
      </c>
      <c r="P21" s="59">
        <f t="shared" si="0"/>
        <v>51.0953625</v>
      </c>
      <c r="Q21" s="18">
        <f t="shared" si="6"/>
        <v>4.4592274941972779E-2</v>
      </c>
      <c r="R21" s="59">
        <f t="shared" si="4"/>
        <v>1.9884709845004933E-3</v>
      </c>
      <c r="S21" s="59">
        <f t="shared" si="1"/>
        <v>55.200190500000005</v>
      </c>
      <c r="T21" s="18">
        <f t="shared" si="7"/>
        <v>0.27971517918143002</v>
      </c>
      <c r="U21" s="61">
        <f t="shared" si="5"/>
        <v>7.8240581464499498E-2</v>
      </c>
    </row>
    <row r="22" spans="1:28">
      <c r="A22" s="23">
        <v>43637</v>
      </c>
      <c r="B22" s="28">
        <v>9.3780000000000072</v>
      </c>
      <c r="C22" s="17">
        <v>2.6162950903896549E-2</v>
      </c>
      <c r="D22" s="17">
        <v>13.924499999999995</v>
      </c>
      <c r="E22" s="17">
        <v>0.1103086578651056</v>
      </c>
      <c r="F22" s="18">
        <v>87.206000000000003</v>
      </c>
      <c r="G22" s="18">
        <v>0.13435028842544242</v>
      </c>
      <c r="H22" s="18">
        <v>90.275499999999994</v>
      </c>
      <c r="I22" s="28">
        <v>0.34082546853191542</v>
      </c>
      <c r="J22" s="28">
        <v>49.2</v>
      </c>
      <c r="K22" s="28" t="s">
        <v>25</v>
      </c>
      <c r="L22" s="62">
        <v>10</v>
      </c>
      <c r="M22" s="28">
        <v>0.3</v>
      </c>
      <c r="N22" s="28">
        <f t="shared" si="2"/>
        <v>3</v>
      </c>
      <c r="O22" s="18">
        <f t="shared" si="3"/>
        <v>415.8</v>
      </c>
      <c r="P22" s="59">
        <f t="shared" si="0"/>
        <v>36.260254800000006</v>
      </c>
      <c r="Q22" s="18">
        <f t="shared" si="6"/>
        <v>5.5862849927298959E-2</v>
      </c>
      <c r="R22" s="59">
        <f t="shared" si="4"/>
        <v>3.1206580019999255E-3</v>
      </c>
      <c r="S22" s="59">
        <f t="shared" si="1"/>
        <v>37.536552899999997</v>
      </c>
      <c r="T22" s="18">
        <f t="shared" si="7"/>
        <v>0.14171522981557044</v>
      </c>
      <c r="U22" s="61">
        <f t="shared" si="5"/>
        <v>2.0083206361679946E-2</v>
      </c>
    </row>
    <row r="23" spans="1:28">
      <c r="A23" s="23">
        <v>43651</v>
      </c>
      <c r="B23" s="28">
        <v>8.7674999999999983</v>
      </c>
      <c r="C23" s="17">
        <v>0.30264170234784038</v>
      </c>
      <c r="D23" s="17">
        <v>15.126000000000005</v>
      </c>
      <c r="E23" s="17">
        <v>0.30759144981614978</v>
      </c>
      <c r="F23" s="18">
        <v>96.731750000000005</v>
      </c>
      <c r="G23" s="18">
        <v>0.76756441097800465</v>
      </c>
      <c r="H23" s="18">
        <v>91.878</v>
      </c>
      <c r="I23" s="18">
        <v>0.27718585822512376</v>
      </c>
      <c r="J23" s="28">
        <v>17.399999999999999</v>
      </c>
      <c r="K23" s="28" t="s">
        <v>26</v>
      </c>
      <c r="L23" s="62">
        <v>14</v>
      </c>
      <c r="M23" s="28">
        <v>0.3</v>
      </c>
      <c r="N23" s="28">
        <f t="shared" si="2"/>
        <v>4.2</v>
      </c>
      <c r="O23" s="18">
        <f t="shared" si="3"/>
        <v>118.79999999999998</v>
      </c>
      <c r="P23" s="59">
        <f t="shared" si="0"/>
        <v>11.4917319</v>
      </c>
      <c r="Q23" s="18">
        <f t="shared" si="6"/>
        <v>9.1186652024186937E-2</v>
      </c>
      <c r="R23" s="59">
        <f t="shared" si="4"/>
        <v>8.3150055073801556E-3</v>
      </c>
      <c r="S23" s="59">
        <f t="shared" si="1"/>
        <v>10.915106399999999</v>
      </c>
      <c r="T23" s="18">
        <f t="shared" si="7"/>
        <v>3.29296799571447E-2</v>
      </c>
      <c r="U23" s="61">
        <f t="shared" si="5"/>
        <v>1.0843638220799773E-3</v>
      </c>
    </row>
    <row r="24" spans="1:28">
      <c r="A24" s="23">
        <v>43669</v>
      </c>
      <c r="B24" s="28">
        <v>8.8825000000000003</v>
      </c>
      <c r="C24" s="17">
        <v>0.43557777721091301</v>
      </c>
      <c r="D24" s="17">
        <v>18.649999999999999</v>
      </c>
      <c r="E24" s="17">
        <v>0.69296464556281934</v>
      </c>
      <c r="F24" s="18">
        <v>89.724500000000006</v>
      </c>
      <c r="G24" s="18">
        <v>1.2954196231337605</v>
      </c>
      <c r="H24" s="18">
        <v>96.367750000000001</v>
      </c>
      <c r="I24" s="18">
        <v>0.558260803746782</v>
      </c>
      <c r="J24" s="28">
        <v>45.9</v>
      </c>
      <c r="K24" s="28" t="s">
        <v>27</v>
      </c>
      <c r="L24" s="62">
        <v>17</v>
      </c>
      <c r="M24" s="28">
        <v>0.3</v>
      </c>
      <c r="N24" s="28">
        <f t="shared" si="2"/>
        <v>5.0999999999999996</v>
      </c>
      <c r="O24" s="18">
        <f t="shared" si="3"/>
        <v>367.2</v>
      </c>
      <c r="P24" s="59">
        <f t="shared" si="0"/>
        <v>32.946836400000002</v>
      </c>
      <c r="Q24" s="18">
        <f t="shared" si="6"/>
        <v>0.47567808561471686</v>
      </c>
      <c r="R24" s="59">
        <f t="shared" si="4"/>
        <v>0.22626964113408191</v>
      </c>
      <c r="S24" s="59">
        <f t="shared" si="1"/>
        <v>35.386237800000004</v>
      </c>
      <c r="T24" s="18">
        <f t="shared" si="7"/>
        <v>0.20499336713581834</v>
      </c>
      <c r="U24" s="61">
        <f t="shared" si="5"/>
        <v>4.2022280569680409E-2</v>
      </c>
    </row>
    <row r="25" spans="1:28">
      <c r="A25" s="23">
        <v>43679</v>
      </c>
      <c r="B25" s="28">
        <v>7.8109999999999999</v>
      </c>
      <c r="C25" s="17">
        <v>1.385929291125628</v>
      </c>
      <c r="D25" s="17">
        <v>19.474499999999999</v>
      </c>
      <c r="E25" s="17">
        <v>1.2197591975468005</v>
      </c>
      <c r="F25" s="18">
        <v>85.111500000000007</v>
      </c>
      <c r="G25" s="18">
        <v>0.10394469683442642</v>
      </c>
      <c r="H25" s="18">
        <v>91.0595</v>
      </c>
      <c r="I25" s="18">
        <v>0.2651650429449553</v>
      </c>
      <c r="J25" s="28">
        <v>40.4</v>
      </c>
      <c r="K25" s="28" t="s">
        <v>28</v>
      </c>
      <c r="L25" s="62">
        <v>9</v>
      </c>
      <c r="M25" s="28">
        <v>0.3</v>
      </c>
      <c r="N25" s="28">
        <f t="shared" si="2"/>
        <v>2.6999999999999997</v>
      </c>
      <c r="O25" s="18">
        <f t="shared" si="3"/>
        <v>339.29999999999995</v>
      </c>
      <c r="P25" s="59">
        <f t="shared" si="0"/>
        <v>28.87833195</v>
      </c>
      <c r="Q25" s="18">
        <f t="shared" si="6"/>
        <v>3.5268435635920879E-2</v>
      </c>
      <c r="R25" s="59">
        <f t="shared" si="4"/>
        <v>1.2438625522050938E-3</v>
      </c>
      <c r="S25" s="59">
        <f t="shared" si="1"/>
        <v>30.896488349999995</v>
      </c>
      <c r="T25" s="18">
        <f t="shared" si="7"/>
        <v>8.9970499071223314E-2</v>
      </c>
      <c r="U25" s="61">
        <f t="shared" si="5"/>
        <v>8.0946907031249956E-3</v>
      </c>
    </row>
    <row r="26" spans="1:28">
      <c r="A26" s="23">
        <v>43693</v>
      </c>
      <c r="B26" s="28">
        <v>11.186</v>
      </c>
      <c r="C26" s="17">
        <v>3.1975368645255728</v>
      </c>
      <c r="D26" s="17" t="s">
        <v>76</v>
      </c>
      <c r="E26" s="17" t="s">
        <v>76</v>
      </c>
      <c r="F26" s="18">
        <v>110.842</v>
      </c>
      <c r="G26" s="18">
        <v>0.99702056147302964</v>
      </c>
      <c r="H26" s="27">
        <f>AVERAGE(H25,H27)</f>
        <v>99.30125000000001</v>
      </c>
      <c r="I26" s="17"/>
      <c r="J26" s="28">
        <v>98.3</v>
      </c>
      <c r="K26" s="28" t="s">
        <v>29</v>
      </c>
      <c r="L26" s="62">
        <v>14</v>
      </c>
      <c r="M26" s="28">
        <v>0.3</v>
      </c>
      <c r="N26" s="28">
        <f t="shared" si="2"/>
        <v>4.2</v>
      </c>
      <c r="O26" s="18">
        <f t="shared" si="3"/>
        <v>846.9</v>
      </c>
      <c r="P26" s="59">
        <f t="shared" si="0"/>
        <v>93.872089799999998</v>
      </c>
      <c r="Q26" s="18">
        <f t="shared" si="6"/>
        <v>0.84437671351150878</v>
      </c>
      <c r="R26" s="59">
        <f t="shared" si="4"/>
        <v>0.71297203432049661</v>
      </c>
      <c r="S26" s="59">
        <f t="shared" si="1"/>
        <v>84.098228625000004</v>
      </c>
      <c r="T26" s="18">
        <f t="shared" si="7"/>
        <v>0</v>
      </c>
      <c r="U26" s="61">
        <f t="shared" si="5"/>
        <v>0</v>
      </c>
    </row>
    <row r="27" spans="1:28">
      <c r="A27" s="23">
        <v>43706</v>
      </c>
      <c r="B27" s="28">
        <v>20.821999999999996</v>
      </c>
      <c r="C27" s="17">
        <v>0.55437171645025751</v>
      </c>
      <c r="D27" s="17">
        <v>10.71</v>
      </c>
      <c r="E27" s="17">
        <v>1.8144360005246671</v>
      </c>
      <c r="F27" s="18">
        <v>90.855500000000006</v>
      </c>
      <c r="G27" s="18">
        <v>1.7677669529657658E-2</v>
      </c>
      <c r="H27" s="18">
        <v>107.54300000000001</v>
      </c>
      <c r="I27" s="18">
        <v>0.37193816690412135</v>
      </c>
      <c r="J27" s="28">
        <v>32.1</v>
      </c>
      <c r="K27" s="28" t="s">
        <v>30</v>
      </c>
      <c r="L27" s="62">
        <v>13</v>
      </c>
      <c r="M27" s="28">
        <v>0.3</v>
      </c>
      <c r="N27" s="28">
        <f t="shared" si="2"/>
        <v>3.9</v>
      </c>
      <c r="O27" s="18">
        <f t="shared" si="3"/>
        <v>253.80000000000004</v>
      </c>
      <c r="P27" s="59">
        <f t="shared" si="0"/>
        <v>23.059125900000005</v>
      </c>
      <c r="Q27" s="18">
        <f t="shared" si="6"/>
        <v>4.4865925266271145E-3</v>
      </c>
      <c r="R27" s="59">
        <f t="shared" si="4"/>
        <v>2.0129512499986277E-5</v>
      </c>
      <c r="S27" s="59">
        <f t="shared" si="1"/>
        <v>27.294413400000003</v>
      </c>
      <c r="T27" s="18">
        <f t="shared" si="7"/>
        <v>9.4397906760266007E-2</v>
      </c>
      <c r="U27" s="61">
        <f t="shared" si="5"/>
        <v>8.9109648007198745E-3</v>
      </c>
    </row>
    <row r="28" spans="1:28">
      <c r="A28" s="23">
        <v>43721</v>
      </c>
      <c r="B28" s="28">
        <v>10.254999999999995</v>
      </c>
      <c r="C28" s="17">
        <v>2.5738686835190481</v>
      </c>
      <c r="D28" s="17">
        <v>24.634499999999992</v>
      </c>
      <c r="E28" s="17">
        <v>1.5775552288271886</v>
      </c>
      <c r="F28" s="18">
        <v>97.704499999999996</v>
      </c>
      <c r="G28" s="18">
        <v>0.55225039610669802</v>
      </c>
      <c r="H28" s="18">
        <v>87.894499999999994</v>
      </c>
      <c r="I28" s="18">
        <v>0.61023315216399021</v>
      </c>
      <c r="J28" s="28">
        <v>22.8</v>
      </c>
      <c r="K28" s="28" t="s">
        <v>31</v>
      </c>
      <c r="L28" s="62">
        <v>15</v>
      </c>
      <c r="M28" s="28">
        <v>0.3</v>
      </c>
      <c r="N28" s="28">
        <f t="shared" si="2"/>
        <v>4.5</v>
      </c>
      <c r="O28" s="18">
        <f t="shared" si="3"/>
        <v>164.70000000000002</v>
      </c>
      <c r="P28" s="59">
        <f t="shared" si="0"/>
        <v>16.091931150000001</v>
      </c>
      <c r="Q28" s="18">
        <f t="shared" si="6"/>
        <v>9.0955640238773172E-2</v>
      </c>
      <c r="R28" s="59">
        <f t="shared" si="4"/>
        <v>8.2729284912451337E-3</v>
      </c>
      <c r="S28" s="59">
        <f t="shared" si="1"/>
        <v>14.47622415</v>
      </c>
      <c r="T28" s="18">
        <f t="shared" si="7"/>
        <v>0.1005054001614092</v>
      </c>
      <c r="U28" s="61">
        <f t="shared" si="5"/>
        <v>1.0101335461604993E-2</v>
      </c>
    </row>
    <row r="29" spans="1:28">
      <c r="A29" s="23">
        <v>43738</v>
      </c>
      <c r="B29" s="28">
        <v>11.295999999999999</v>
      </c>
      <c r="C29" s="17">
        <v>0.56568542494923602</v>
      </c>
      <c r="D29" s="17" t="s">
        <v>76</v>
      </c>
      <c r="E29" s="17" t="s">
        <v>76</v>
      </c>
      <c r="F29" s="18">
        <v>92.614499999999992</v>
      </c>
      <c r="G29" s="18">
        <v>0.55366460966906761</v>
      </c>
      <c r="H29" s="27">
        <f>AVERAGE(H28,H30)</f>
        <v>86.607749999999996</v>
      </c>
      <c r="I29" s="17"/>
      <c r="J29" s="28">
        <v>73.400000000000006</v>
      </c>
      <c r="K29" s="28" t="s">
        <v>32</v>
      </c>
      <c r="L29" s="62">
        <v>17</v>
      </c>
      <c r="M29" s="28">
        <v>0.2</v>
      </c>
      <c r="N29" s="28">
        <f t="shared" si="2"/>
        <v>3.4000000000000004</v>
      </c>
      <c r="O29" s="18">
        <f t="shared" si="3"/>
        <v>630</v>
      </c>
      <c r="P29" s="59">
        <f t="shared" si="0"/>
        <v>58.347134999999994</v>
      </c>
      <c r="Q29" s="18">
        <f t="shared" si="6"/>
        <v>0.3488087040915126</v>
      </c>
      <c r="R29" s="59">
        <f t="shared" si="4"/>
        <v>0.1216675120500004</v>
      </c>
      <c r="S29" s="59">
        <f t="shared" si="1"/>
        <v>54.562882500000001</v>
      </c>
      <c r="T29" s="18">
        <f t="shared" si="7"/>
        <v>0</v>
      </c>
      <c r="U29" s="61">
        <f t="shared" si="5"/>
        <v>0</v>
      </c>
    </row>
    <row r="30" spans="1:28">
      <c r="A30" s="23">
        <v>43749</v>
      </c>
      <c r="B30" s="28">
        <v>10.127499999999998</v>
      </c>
      <c r="C30" s="17">
        <v>1.3781511165325899</v>
      </c>
      <c r="D30" s="17">
        <v>24.290999999999997</v>
      </c>
      <c r="E30" s="17">
        <v>0.14849242404918062</v>
      </c>
      <c r="F30" s="18">
        <v>91.548000000000002</v>
      </c>
      <c r="G30" s="18">
        <v>0.52750165876517108</v>
      </c>
      <c r="H30" s="18">
        <v>85.320999999999998</v>
      </c>
      <c r="I30" s="18">
        <v>0.63639610306789685</v>
      </c>
      <c r="J30" s="28">
        <v>53.1</v>
      </c>
      <c r="K30" s="28" t="s">
        <v>33</v>
      </c>
      <c r="L30" s="62">
        <v>10</v>
      </c>
      <c r="M30" s="28">
        <v>0.2</v>
      </c>
      <c r="N30" s="28">
        <f t="shared" si="2"/>
        <v>2</v>
      </c>
      <c r="O30" s="18">
        <f t="shared" si="3"/>
        <v>459.90000000000003</v>
      </c>
      <c r="P30" s="59">
        <f t="shared" si="0"/>
        <v>42.102925200000008</v>
      </c>
      <c r="Q30" s="18">
        <f t="shared" si="6"/>
        <v>0.24259801286610222</v>
      </c>
      <c r="R30" s="59">
        <f t="shared" si="4"/>
        <v>5.88537958465815E-2</v>
      </c>
      <c r="S30" s="59">
        <f t="shared" si="1"/>
        <v>39.2391279</v>
      </c>
      <c r="T30" s="18">
        <f t="shared" si="7"/>
        <v>0.29267856780092583</v>
      </c>
      <c r="U30" s="61">
        <f t="shared" si="5"/>
        <v>8.5660744050001139E-2</v>
      </c>
    </row>
    <row r="31" spans="1:28">
      <c r="A31" s="23">
        <v>43763</v>
      </c>
      <c r="B31" s="28">
        <v>10.058500000000002</v>
      </c>
      <c r="C31" s="17">
        <v>0.78559563389825726</v>
      </c>
      <c r="D31" s="17">
        <v>23.292999999999999</v>
      </c>
      <c r="E31" s="17">
        <v>0.1499066376115504</v>
      </c>
      <c r="F31" s="18">
        <v>90.503</v>
      </c>
      <c r="G31" s="18">
        <v>0.27435743110038413</v>
      </c>
      <c r="H31" s="18">
        <v>85.974500000000006</v>
      </c>
      <c r="I31" s="18">
        <v>0.35143207024971407</v>
      </c>
      <c r="J31" s="28">
        <v>33.1</v>
      </c>
      <c r="K31" s="28" t="s">
        <v>34</v>
      </c>
      <c r="L31" s="62">
        <v>14</v>
      </c>
      <c r="M31" s="28">
        <v>0.2</v>
      </c>
      <c r="N31" s="28">
        <f t="shared" si="2"/>
        <v>2.8000000000000003</v>
      </c>
      <c r="O31" s="18">
        <f t="shared" si="3"/>
        <v>272.70000000000005</v>
      </c>
      <c r="P31" s="59">
        <f t="shared" si="0"/>
        <v>24.680168100000003</v>
      </c>
      <c r="Q31" s="18">
        <f t="shared" si="6"/>
        <v>7.4817271461074766E-2</v>
      </c>
      <c r="R31" s="59">
        <f t="shared" si="4"/>
        <v>5.597624108880153E-3</v>
      </c>
      <c r="S31" s="59">
        <f t="shared" si="1"/>
        <v>23.445246150000006</v>
      </c>
      <c r="T31" s="18">
        <f t="shared" si="7"/>
        <v>9.583552555709704E-2</v>
      </c>
      <c r="U31" s="61">
        <f t="shared" si="5"/>
        <v>9.184447958804999E-3</v>
      </c>
    </row>
    <row r="32" spans="1:28">
      <c r="A32" s="23">
        <v>43777</v>
      </c>
      <c r="B32" s="28">
        <v>6.2480000000000047</v>
      </c>
      <c r="C32" s="17">
        <v>0.93762359185336075</v>
      </c>
      <c r="D32" s="17">
        <v>19.725999999999999</v>
      </c>
      <c r="E32" s="17">
        <v>1.2628927111991748</v>
      </c>
      <c r="F32" s="18">
        <v>87.964500000000001</v>
      </c>
      <c r="G32" s="18">
        <v>0.8916616510762333</v>
      </c>
      <c r="H32" s="28">
        <v>86.58250000000001</v>
      </c>
      <c r="I32" s="18">
        <v>1.2565287501684956</v>
      </c>
      <c r="J32" s="28">
        <f>66.1-2.9</f>
        <v>63.199999999999996</v>
      </c>
      <c r="K32" s="28" t="s">
        <v>64</v>
      </c>
      <c r="L32" s="64">
        <v>14</v>
      </c>
      <c r="M32" s="18">
        <v>0.2</v>
      </c>
      <c r="N32" s="18">
        <f t="shared" si="2"/>
        <v>2.8000000000000003</v>
      </c>
      <c r="O32" s="18">
        <f t="shared" si="3"/>
        <v>543.59999999999991</v>
      </c>
      <c r="P32" s="59">
        <f t="shared" si="0"/>
        <v>47.817502199999993</v>
      </c>
      <c r="Q32" s="18">
        <f t="shared" si="6"/>
        <v>0.48470727352504034</v>
      </c>
      <c r="R32" s="59">
        <f t="shared" si="4"/>
        <v>0.23494114100807828</v>
      </c>
      <c r="S32" s="59">
        <f t="shared" si="1"/>
        <v>47.066246999999997</v>
      </c>
      <c r="T32" s="18">
        <f t="shared" si="7"/>
        <v>0.68304902859159411</v>
      </c>
      <c r="U32" s="61">
        <f t="shared" si="5"/>
        <v>0.46655597545992034</v>
      </c>
      <c r="V32" s="18"/>
      <c r="W32" s="18"/>
      <c r="X32" s="18"/>
      <c r="Y32" s="18"/>
      <c r="Z32" s="18"/>
      <c r="AA32" s="18"/>
      <c r="AB32" s="18"/>
    </row>
    <row r="33" spans="1:28">
      <c r="A33" s="23">
        <v>43784</v>
      </c>
      <c r="B33" s="28">
        <v>6.7955000000000041</v>
      </c>
      <c r="C33" s="17">
        <v>0.15627059864222956</v>
      </c>
      <c r="D33" s="17">
        <v>19.482500000000002</v>
      </c>
      <c r="E33" s="17">
        <v>1.2381439738576481</v>
      </c>
      <c r="F33" s="18">
        <v>86.077500000000001</v>
      </c>
      <c r="G33" s="18">
        <v>0.4801255044256672</v>
      </c>
      <c r="H33" s="28">
        <v>86.718500000000006</v>
      </c>
      <c r="I33" s="18">
        <v>0.86054895270402743</v>
      </c>
      <c r="J33" s="28">
        <v>22</v>
      </c>
      <c r="K33" s="28" t="s">
        <v>65</v>
      </c>
      <c r="L33" s="64">
        <v>7</v>
      </c>
      <c r="M33" s="18">
        <v>0.2</v>
      </c>
      <c r="N33" s="18">
        <f t="shared" si="2"/>
        <v>1.4000000000000001</v>
      </c>
      <c r="O33" s="18">
        <f t="shared" si="3"/>
        <v>185.4</v>
      </c>
      <c r="P33" s="59">
        <f t="shared" si="0"/>
        <v>15.9587685</v>
      </c>
      <c r="Q33" s="18">
        <f t="shared" si="6"/>
        <v>8.9015268520518706E-2</v>
      </c>
      <c r="R33" s="59">
        <f t="shared" si="4"/>
        <v>7.923718029780048E-3</v>
      </c>
      <c r="S33" s="59">
        <f t="shared" si="1"/>
        <v>16.077609900000002</v>
      </c>
      <c r="T33" s="18">
        <f t="shared" si="7"/>
        <v>0.1595457758313267</v>
      </c>
      <c r="U33" s="61">
        <f t="shared" si="5"/>
        <v>2.5454854585619951E-2</v>
      </c>
      <c r="V33" s="18"/>
      <c r="W33" s="18"/>
      <c r="X33" s="18"/>
      <c r="Y33" s="18"/>
      <c r="Z33" s="18"/>
      <c r="AA33" s="18"/>
      <c r="AB33" s="18"/>
    </row>
    <row r="34" spans="1:28" s="34" customFormat="1">
      <c r="A34" s="23">
        <v>43790</v>
      </c>
      <c r="B34" s="28">
        <v>4.5604999999999976</v>
      </c>
      <c r="C34" s="17">
        <v>1.7557461376862118</v>
      </c>
      <c r="D34" s="17">
        <v>16.888999999999996</v>
      </c>
      <c r="E34" s="17">
        <v>4.8083261120693756E-2</v>
      </c>
      <c r="F34" s="18">
        <v>81.301999999999992</v>
      </c>
      <c r="G34" s="18">
        <v>1.0352043276571146</v>
      </c>
      <c r="H34" s="28">
        <v>85.962500000000006</v>
      </c>
      <c r="I34" s="18">
        <v>0.55507882323144742</v>
      </c>
      <c r="J34" s="28">
        <v>43.4</v>
      </c>
      <c r="K34" s="28" t="s">
        <v>66</v>
      </c>
      <c r="L34" s="64">
        <v>6</v>
      </c>
      <c r="M34" s="18">
        <v>0.2</v>
      </c>
      <c r="N34" s="18">
        <f t="shared" si="2"/>
        <v>1.2000000000000002</v>
      </c>
      <c r="O34" s="18">
        <f t="shared" si="3"/>
        <v>379.79999999999995</v>
      </c>
      <c r="P34" s="59">
        <f t="shared" si="0"/>
        <v>30.878499599999991</v>
      </c>
      <c r="Q34" s="18">
        <f t="shared" si="6"/>
        <v>0.39317060364417206</v>
      </c>
      <c r="R34" s="59">
        <f t="shared" si="4"/>
        <v>0.15458312356992265</v>
      </c>
      <c r="S34" s="59">
        <f t="shared" si="1"/>
        <v>32.648557499999995</v>
      </c>
      <c r="T34" s="18">
        <f t="shared" si="7"/>
        <v>0.21081893706330371</v>
      </c>
      <c r="U34" s="61">
        <f t="shared" si="5"/>
        <v>4.4444624224501211E-2</v>
      </c>
      <c r="V34" s="18"/>
      <c r="W34" s="18"/>
      <c r="X34" s="18"/>
      <c r="Y34" s="18"/>
      <c r="Z34" s="18"/>
      <c r="AA34" s="18"/>
      <c r="AB34" s="18"/>
    </row>
    <row r="35" spans="1:28">
      <c r="A35" s="23">
        <v>44176</v>
      </c>
      <c r="B35" s="28">
        <v>5.5819999999999936</v>
      </c>
      <c r="C35" s="17">
        <v>2.1623325368684578</v>
      </c>
      <c r="D35" s="17">
        <v>14.277499999999996</v>
      </c>
      <c r="E35" s="17">
        <v>0.31890515831513833</v>
      </c>
      <c r="F35" s="18">
        <v>81.570999999999998</v>
      </c>
      <c r="G35" s="18">
        <v>0.1</v>
      </c>
      <c r="H35" s="18">
        <v>87.364999999999995</v>
      </c>
      <c r="I35" s="18">
        <v>0.43</v>
      </c>
      <c r="J35" s="28">
        <v>49.4</v>
      </c>
      <c r="K35" s="28" t="s">
        <v>67</v>
      </c>
      <c r="L35" s="62">
        <v>20</v>
      </c>
      <c r="M35" s="28">
        <v>0.05</v>
      </c>
      <c r="N35" s="28">
        <f>L35*M35</f>
        <v>1</v>
      </c>
      <c r="O35" s="18">
        <f t="shared" si="3"/>
        <v>435.59999999999997</v>
      </c>
      <c r="P35" s="59">
        <f t="shared" si="0"/>
        <v>35.532327599999995</v>
      </c>
      <c r="Q35" s="18">
        <f t="shared" si="6"/>
        <v>4.3560000000000001E-2</v>
      </c>
      <c r="R35" s="59">
        <f t="shared" si="4"/>
        <v>1.8974736000000002E-3</v>
      </c>
      <c r="S35" s="59">
        <f t="shared" si="1"/>
        <v>38.056193999999998</v>
      </c>
      <c r="T35" s="18">
        <f t="shared" si="7"/>
        <v>0.187308</v>
      </c>
      <c r="U35" s="61">
        <f>T35^2</f>
        <v>3.5084286864000003E-2</v>
      </c>
      <c r="V35" s="18"/>
      <c r="W35" s="18"/>
      <c r="X35" s="18"/>
      <c r="Y35" s="18"/>
      <c r="Z35" s="18"/>
      <c r="AA35" s="18"/>
      <c r="AB35" s="18"/>
    </row>
    <row r="36" spans="1:28">
      <c r="A36" s="23">
        <v>43850</v>
      </c>
      <c r="B36" s="28">
        <v>4.0889999999999986</v>
      </c>
      <c r="C36" s="17">
        <v>0.28567113959936263</v>
      </c>
      <c r="D36" s="17">
        <v>10.802500000000002</v>
      </c>
      <c r="E36" s="17">
        <v>1.0500535700620226</v>
      </c>
      <c r="F36" s="18">
        <v>74.8155</v>
      </c>
      <c r="G36" s="18">
        <v>0.13</v>
      </c>
      <c r="H36" s="18">
        <v>89.641999999999996</v>
      </c>
      <c r="I36" s="18">
        <v>0.55000000000000004</v>
      </c>
      <c r="J36" s="28">
        <v>57.2</v>
      </c>
      <c r="K36" s="28" t="s">
        <v>68</v>
      </c>
      <c r="L36" s="62">
        <v>39</v>
      </c>
      <c r="M36" s="28">
        <v>0.05</v>
      </c>
      <c r="N36" s="28">
        <f>L36*M36</f>
        <v>1.9500000000000002</v>
      </c>
      <c r="O36" s="18">
        <f>J36*9-N36*9</f>
        <v>497.25000000000006</v>
      </c>
      <c r="P36" s="59">
        <f t="shared" si="0"/>
        <v>37.202007375000001</v>
      </c>
      <c r="Q36" s="18">
        <f t="shared" si="6"/>
        <v>6.4642500000000019E-2</v>
      </c>
      <c r="R36" s="59">
        <f t="shared" si="4"/>
        <v>4.1786528062500022E-3</v>
      </c>
      <c r="S36" s="59">
        <f t="shared" si="1"/>
        <v>44.574484500000004</v>
      </c>
      <c r="T36" s="18">
        <f t="shared" si="7"/>
        <v>0.27348750000000005</v>
      </c>
      <c r="U36" s="61">
        <f>T36^2</f>
        <v>7.4795412656250032E-2</v>
      </c>
      <c r="V36" s="18"/>
      <c r="W36" s="18"/>
      <c r="X36" s="18"/>
      <c r="Y36" s="18"/>
      <c r="Z36" s="18"/>
      <c r="AA36" s="18"/>
      <c r="AB36" s="18"/>
    </row>
    <row r="37" spans="1:28" s="34" customFormat="1">
      <c r="A37" s="23">
        <v>43864</v>
      </c>
      <c r="B37" s="28">
        <v>3.5614999999999952</v>
      </c>
      <c r="C37" s="17">
        <v>0.14071424945613165</v>
      </c>
      <c r="D37" s="17">
        <v>8.2860000000000014</v>
      </c>
      <c r="E37" s="17">
        <v>0.12162236636408408</v>
      </c>
      <c r="F37" s="18">
        <v>71.855999999999995</v>
      </c>
      <c r="G37" s="18">
        <v>0.35</v>
      </c>
      <c r="H37" s="18">
        <v>85.605999999999995</v>
      </c>
      <c r="I37" s="18">
        <v>0.16</v>
      </c>
      <c r="J37" s="28">
        <v>10</v>
      </c>
      <c r="K37" s="28" t="s">
        <v>70</v>
      </c>
      <c r="L37" s="62">
        <v>14</v>
      </c>
      <c r="M37" s="28">
        <v>0.05</v>
      </c>
      <c r="N37" s="18">
        <f>M37*L37</f>
        <v>0.70000000000000007</v>
      </c>
      <c r="O37" s="18">
        <f t="shared" si="3"/>
        <v>83.7</v>
      </c>
      <c r="P37" s="59">
        <f t="shared" si="0"/>
        <v>6.0143472000000004</v>
      </c>
      <c r="Q37" s="18">
        <f t="shared" si="6"/>
        <v>2.9294999999999998E-2</v>
      </c>
      <c r="R37" s="59">
        <f t="shared" si="4"/>
        <v>8.581970249999999E-4</v>
      </c>
      <c r="S37" s="59">
        <f t="shared" si="1"/>
        <v>7.1652222000000005</v>
      </c>
      <c r="T37" s="18">
        <f t="shared" si="7"/>
        <v>1.3392000000000001E-2</v>
      </c>
      <c r="U37" s="61">
        <f>T37^2</f>
        <v>1.7934566400000003E-4</v>
      </c>
      <c r="V37" s="18"/>
      <c r="W37" s="18"/>
      <c r="X37" s="18"/>
      <c r="Y37" s="18"/>
      <c r="Z37" s="18"/>
      <c r="AA37" s="18"/>
      <c r="AB37" s="18"/>
    </row>
    <row r="39" spans="1:28">
      <c r="O39" s="18" t="s">
        <v>101</v>
      </c>
      <c r="P39" s="59">
        <f>SUM(P4:P37)</f>
        <v>782.98275487499996</v>
      </c>
      <c r="R39" s="59">
        <f>(SUM(R12:R37)/26)^0.5</f>
        <v>0.27654612704865639</v>
      </c>
      <c r="S39" s="59">
        <f>SUM(S4:S37)</f>
        <v>786.97006537499999</v>
      </c>
      <c r="U39" s="59">
        <f>(SUM(U12:U37)/26)^0.5</f>
        <v>0.22180256245454727</v>
      </c>
    </row>
    <row r="42" spans="1:28">
      <c r="B42" s="28"/>
      <c r="C42" s="28"/>
      <c r="F42" s="28"/>
      <c r="G42" s="28"/>
      <c r="I42" s="28"/>
    </row>
    <row r="43" spans="1:28">
      <c r="B43" s="28"/>
      <c r="C43" s="28"/>
      <c r="F43" s="28"/>
      <c r="G43" s="28"/>
      <c r="I43" s="28"/>
    </row>
    <row r="44" spans="1:28">
      <c r="B44" s="35"/>
      <c r="C44" s="35"/>
      <c r="F44" s="35"/>
      <c r="G44" s="35"/>
      <c r="I44" s="35"/>
      <c r="J44" s="35"/>
    </row>
    <row r="45" spans="1:28">
      <c r="B45" s="18"/>
      <c r="C45" s="18"/>
      <c r="J45" s="18"/>
    </row>
    <row r="46" spans="1:28">
      <c r="B46" s="18"/>
      <c r="C46" s="18"/>
      <c r="J46" s="18"/>
    </row>
    <row r="47" spans="1:28">
      <c r="B47" s="18"/>
      <c r="C47" s="18"/>
      <c r="J47" s="18"/>
    </row>
    <row r="48" spans="1:28">
      <c r="B48" s="18"/>
      <c r="C48" s="18"/>
      <c r="J48" s="18"/>
    </row>
    <row r="49" spans="2:10">
      <c r="B49" s="18"/>
      <c r="C49" s="18"/>
      <c r="J49" s="18"/>
    </row>
    <row r="50" spans="2:10">
      <c r="B50" s="18"/>
      <c r="C50" s="18"/>
      <c r="J50" s="18"/>
    </row>
    <row r="51" spans="2:10">
      <c r="B51" s="18"/>
      <c r="C51" s="18"/>
      <c r="J51" s="18"/>
    </row>
    <row r="52" spans="2:10">
      <c r="B52" s="18"/>
      <c r="C52" s="18"/>
      <c r="J52" s="18"/>
    </row>
    <row r="53" spans="2:10">
      <c r="B53" s="18"/>
      <c r="C53" s="18"/>
      <c r="J53" s="18"/>
    </row>
    <row r="54" spans="2:10">
      <c r="B54" s="18"/>
      <c r="C54" s="18"/>
      <c r="J54" s="18"/>
    </row>
  </sheetData>
  <mergeCells count="2">
    <mergeCell ref="V2:Y3"/>
    <mergeCell ref="V4:Y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28"/>
  <sheetViews>
    <sheetView zoomScale="120" zoomScaleNormal="120" workbookViewId="0">
      <selection activeCell="B21" sqref="B21"/>
    </sheetView>
  </sheetViews>
  <sheetFormatPr defaultColWidth="9.33203125" defaultRowHeight="14.4"/>
  <cols>
    <col min="1" max="1" width="12.6640625" style="24" customWidth="1"/>
    <col min="2" max="2" width="14.6640625" style="24" customWidth="1"/>
    <col min="3" max="4" width="16.88671875" style="24" customWidth="1"/>
    <col min="5" max="5" width="12.33203125" style="24" customWidth="1"/>
    <col min="6" max="6" width="13.88671875" style="24" customWidth="1"/>
    <col min="7" max="7" width="21.33203125" style="24" customWidth="1"/>
    <col min="8" max="8" width="19.88671875" style="24" customWidth="1"/>
    <col min="9" max="9" width="13.33203125" style="24" customWidth="1"/>
    <col min="10" max="16384" width="9.33203125" style="24"/>
  </cols>
  <sheetData>
    <row r="1" spans="1:14">
      <c r="C1" s="177"/>
    </row>
    <row r="2" spans="1:14" s="39" customFormat="1" ht="28.8">
      <c r="A2" s="37"/>
      <c r="B2" s="56" t="s">
        <v>250</v>
      </c>
      <c r="C2" s="57" t="s">
        <v>275</v>
      </c>
      <c r="D2" s="57" t="s">
        <v>251</v>
      </c>
      <c r="E2" s="38" t="s">
        <v>252</v>
      </c>
      <c r="F2" s="38" t="s">
        <v>253</v>
      </c>
      <c r="G2" s="37" t="s">
        <v>73</v>
      </c>
      <c r="H2" s="38" t="s">
        <v>254</v>
      </c>
      <c r="I2" s="38"/>
      <c r="J2" s="38"/>
      <c r="K2" s="38"/>
      <c r="L2" s="37"/>
      <c r="M2" s="37"/>
      <c r="N2" s="37"/>
    </row>
    <row r="3" spans="1:14">
      <c r="A3" s="15" t="s">
        <v>5</v>
      </c>
      <c r="B3" s="40">
        <v>43627</v>
      </c>
      <c r="C3" s="41">
        <v>7.0369999999999999</v>
      </c>
      <c r="D3" s="41">
        <f>100-47.03</f>
        <v>52.97</v>
      </c>
      <c r="E3" s="41">
        <v>47.03</v>
      </c>
      <c r="F3" s="17">
        <f t="shared" ref="F3:F8" si="0">C3*E3/100</f>
        <v>3.3095010999999999</v>
      </c>
      <c r="G3" s="33">
        <f t="shared" ref="G3:G8" si="1">F3*0.475</f>
        <v>1.5720130225</v>
      </c>
      <c r="H3" s="17">
        <f t="shared" ref="H3:H8" si="2">G3/9</f>
        <v>0.17466811361111112</v>
      </c>
      <c r="I3" s="17"/>
      <c r="J3" s="17"/>
      <c r="K3" s="20"/>
      <c r="L3" s="20"/>
      <c r="M3" s="20"/>
      <c r="N3" s="29"/>
    </row>
    <row r="4" spans="1:14">
      <c r="A4" s="29"/>
      <c r="B4" s="23">
        <v>44058</v>
      </c>
      <c r="C4" s="41">
        <v>10.5</v>
      </c>
      <c r="D4" s="41">
        <f>100-50.85</f>
        <v>49.15</v>
      </c>
      <c r="E4" s="41">
        <v>50.85</v>
      </c>
      <c r="F4" s="17">
        <f t="shared" si="0"/>
        <v>5.3392500000000007</v>
      </c>
      <c r="G4" s="33">
        <f t="shared" si="1"/>
        <v>2.5361437500000004</v>
      </c>
      <c r="H4" s="17">
        <f t="shared" si="2"/>
        <v>0.28179375000000007</v>
      </c>
      <c r="I4" s="17"/>
      <c r="J4" s="42"/>
      <c r="K4" s="20"/>
      <c r="L4" s="20"/>
      <c r="M4" s="20"/>
      <c r="N4" s="29"/>
    </row>
    <row r="5" spans="1:14">
      <c r="A5" s="29"/>
      <c r="B5" s="23">
        <v>44364</v>
      </c>
      <c r="C5" s="41">
        <v>7.9</v>
      </c>
      <c r="D5" s="41">
        <f>100-E5</f>
        <v>60</v>
      </c>
      <c r="E5" s="47">
        <v>40</v>
      </c>
      <c r="F5" s="17">
        <f t="shared" si="0"/>
        <v>3.16</v>
      </c>
      <c r="G5" s="33">
        <f t="shared" si="1"/>
        <v>1.5009999999999999</v>
      </c>
      <c r="H5" s="17">
        <f t="shared" si="2"/>
        <v>0.16677777777777777</v>
      </c>
      <c r="I5" s="17"/>
      <c r="J5" s="42"/>
      <c r="K5" s="36"/>
      <c r="L5" s="36"/>
      <c r="M5" s="36"/>
      <c r="N5" s="29"/>
    </row>
    <row r="6" spans="1:14">
      <c r="A6" s="15" t="s">
        <v>2</v>
      </c>
      <c r="B6" s="40">
        <v>43627</v>
      </c>
      <c r="C6" s="41">
        <v>9.5459999999999994</v>
      </c>
      <c r="D6" s="41">
        <f>100-E6</f>
        <v>61.49</v>
      </c>
      <c r="E6" s="41">
        <v>38.51</v>
      </c>
      <c r="F6" s="17">
        <f t="shared" si="0"/>
        <v>3.6761645999999994</v>
      </c>
      <c r="G6" s="33">
        <f t="shared" si="1"/>
        <v>1.7461781849999995</v>
      </c>
      <c r="H6" s="17">
        <f t="shared" si="2"/>
        <v>0.19401979833333327</v>
      </c>
      <c r="I6" s="42"/>
      <c r="J6" s="17"/>
      <c r="K6" s="20"/>
      <c r="L6" s="20"/>
      <c r="M6" s="20"/>
      <c r="N6" s="29"/>
    </row>
    <row r="7" spans="1:14">
      <c r="A7" s="29"/>
      <c r="B7" s="23">
        <v>44058</v>
      </c>
      <c r="C7" s="41">
        <v>13</v>
      </c>
      <c r="D7" s="41">
        <f>100-E7</f>
        <v>51.26</v>
      </c>
      <c r="E7" s="41">
        <v>48.74</v>
      </c>
      <c r="F7" s="17">
        <f t="shared" si="0"/>
        <v>6.3361999999999998</v>
      </c>
      <c r="G7" s="17">
        <f t="shared" si="1"/>
        <v>3.0096949999999998</v>
      </c>
      <c r="H7" s="17">
        <f t="shared" si="2"/>
        <v>0.33441055555555554</v>
      </c>
      <c r="I7" s="17"/>
      <c r="J7" s="42"/>
      <c r="K7" s="20"/>
      <c r="L7" s="20"/>
      <c r="M7" s="20"/>
      <c r="N7" s="29"/>
    </row>
    <row r="8" spans="1:14">
      <c r="A8" s="29"/>
      <c r="B8" s="23">
        <v>44364</v>
      </c>
      <c r="C8" s="46">
        <v>8.5</v>
      </c>
      <c r="D8" s="48">
        <f>100-E8</f>
        <v>50</v>
      </c>
      <c r="E8" s="47">
        <v>50</v>
      </c>
      <c r="F8" s="17">
        <f t="shared" si="0"/>
        <v>4.25</v>
      </c>
      <c r="G8" s="17">
        <f t="shared" si="1"/>
        <v>2.0187499999999998</v>
      </c>
      <c r="H8" s="17">
        <f t="shared" si="2"/>
        <v>0.22430555555555554</v>
      </c>
      <c r="I8" s="17"/>
      <c r="J8" s="42"/>
      <c r="K8" s="20"/>
      <c r="L8" s="20"/>
      <c r="M8" s="20"/>
      <c r="N8" s="29"/>
    </row>
    <row r="9" spans="1:14">
      <c r="A9" s="29"/>
      <c r="B9" s="43"/>
      <c r="C9" s="42"/>
      <c r="H9" s="42"/>
      <c r="I9" s="42"/>
      <c r="J9" s="42"/>
      <c r="K9" s="20"/>
      <c r="L9" s="20"/>
      <c r="M9" s="20"/>
      <c r="N9" s="29"/>
    </row>
    <row r="10" spans="1:14">
      <c r="A10" s="29"/>
      <c r="B10" s="43"/>
      <c r="C10" s="42"/>
      <c r="H10" s="42"/>
      <c r="I10" s="42"/>
      <c r="J10" s="42"/>
      <c r="K10" s="20"/>
      <c r="L10" s="20"/>
      <c r="M10" s="20"/>
      <c r="N10" s="29"/>
    </row>
    <row r="11" spans="1:14">
      <c r="B11" s="15"/>
      <c r="H11" s="44"/>
      <c r="I11" s="42"/>
      <c r="J11" s="42"/>
      <c r="K11" s="20"/>
      <c r="L11" s="20"/>
      <c r="M11" s="20"/>
      <c r="N11" s="29"/>
    </row>
    <row r="12" spans="1:14">
      <c r="A12" t="s">
        <v>121</v>
      </c>
      <c r="B12"/>
      <c r="C12"/>
      <c r="E12" s="24">
        <f>C3/C6</f>
        <v>0.73716739995809766</v>
      </c>
      <c r="H12" s="44"/>
      <c r="I12" s="42"/>
      <c r="J12" s="42"/>
      <c r="K12" s="20"/>
      <c r="L12" s="20"/>
      <c r="M12" s="20"/>
      <c r="N12" s="29"/>
    </row>
    <row r="13" spans="1:14" ht="15" thickBot="1">
      <c r="A13"/>
      <c r="B13" t="s">
        <v>71</v>
      </c>
      <c r="C13" t="s">
        <v>72</v>
      </c>
      <c r="E13" s="24">
        <f t="shared" ref="E13:E14" si="3">C4/C7</f>
        <v>0.80769230769230771</v>
      </c>
      <c r="H13" s="44"/>
      <c r="I13" s="42"/>
      <c r="J13" s="42"/>
      <c r="K13" s="20"/>
      <c r="L13" s="20"/>
      <c r="M13" s="20"/>
      <c r="N13" s="29"/>
    </row>
    <row r="14" spans="1:14">
      <c r="A14" s="89"/>
      <c r="B14" s="89" t="s">
        <v>122</v>
      </c>
      <c r="C14" s="89" t="s">
        <v>123</v>
      </c>
      <c r="D14" s="44"/>
      <c r="E14" s="24">
        <f t="shared" si="3"/>
        <v>0.92941176470588238</v>
      </c>
      <c r="F14" s="194"/>
      <c r="G14" s="44"/>
      <c r="H14" s="44"/>
      <c r="I14" s="42"/>
      <c r="J14" s="42"/>
      <c r="K14" s="20"/>
      <c r="L14" s="20"/>
      <c r="M14" s="20"/>
      <c r="N14" s="29"/>
    </row>
    <row r="15" spans="1:14">
      <c r="A15" s="14" t="s">
        <v>69</v>
      </c>
      <c r="B15" s="14">
        <v>0.20774654712962967</v>
      </c>
      <c r="C15" s="14">
        <v>0.25091196981481478</v>
      </c>
      <c r="D15" s="44"/>
      <c r="E15" s="44"/>
      <c r="F15" s="194"/>
      <c r="G15" s="44"/>
      <c r="H15" s="44"/>
      <c r="I15" s="42"/>
      <c r="J15" s="42"/>
      <c r="K15" s="20"/>
      <c r="L15" s="20"/>
      <c r="M15" s="20"/>
      <c r="N15" s="29"/>
    </row>
    <row r="16" spans="1:14">
      <c r="A16" s="14" t="s">
        <v>124</v>
      </c>
      <c r="B16" s="14">
        <v>4.1278055395850416E-3</v>
      </c>
      <c r="C16" s="14">
        <v>5.4583171381587248E-3</v>
      </c>
      <c r="D16" s="42"/>
      <c r="E16" s="42"/>
      <c r="F16" s="193"/>
      <c r="G16" s="42"/>
      <c r="H16" s="44"/>
      <c r="I16" s="42"/>
      <c r="J16" s="42"/>
      <c r="K16" s="20"/>
      <c r="L16" s="20"/>
      <c r="M16" s="20"/>
      <c r="N16" s="29"/>
    </row>
    <row r="17" spans="1:11">
      <c r="A17" s="14" t="s">
        <v>125</v>
      </c>
      <c r="B17" s="14">
        <v>3</v>
      </c>
      <c r="C17" s="14">
        <v>3</v>
      </c>
      <c r="D17" s="42"/>
      <c r="E17" s="42"/>
      <c r="F17" s="193"/>
      <c r="G17" s="42"/>
      <c r="H17" s="44"/>
      <c r="I17" s="44"/>
      <c r="J17" s="44"/>
      <c r="K17" s="44"/>
    </row>
    <row r="18" spans="1:11">
      <c r="A18" s="14" t="s">
        <v>126</v>
      </c>
      <c r="B18" s="14">
        <v>0</v>
      </c>
      <c r="C18" s="14"/>
      <c r="G18" s="45"/>
      <c r="H18" s="44"/>
      <c r="I18" s="44"/>
      <c r="J18" s="44"/>
      <c r="K18" s="44"/>
    </row>
    <row r="19" spans="1:11">
      <c r="A19" s="14" t="s">
        <v>127</v>
      </c>
      <c r="B19" s="14">
        <v>4</v>
      </c>
      <c r="C19" s="14"/>
      <c r="G19" s="45"/>
      <c r="H19" s="44"/>
      <c r="I19" s="44"/>
      <c r="J19" s="44"/>
      <c r="K19" s="44"/>
    </row>
    <row r="20" spans="1:11">
      <c r="A20" s="14" t="s">
        <v>128</v>
      </c>
      <c r="B20" s="14">
        <v>-0.76361620132093599</v>
      </c>
      <c r="C20" s="14"/>
      <c r="H20" s="44"/>
      <c r="I20" s="44"/>
      <c r="J20" s="44"/>
      <c r="K20" s="44"/>
    </row>
    <row r="21" spans="1:11">
      <c r="A21" s="14" t="s">
        <v>129</v>
      </c>
      <c r="B21" s="14">
        <v>0.24382552692936665</v>
      </c>
      <c r="C21" s="14"/>
      <c r="D21" s="44"/>
      <c r="E21" s="44"/>
      <c r="F21" s="44"/>
      <c r="G21" s="44"/>
      <c r="H21" s="44"/>
      <c r="I21" s="44"/>
      <c r="J21" s="44"/>
      <c r="K21" s="44"/>
    </row>
    <row r="22" spans="1:11">
      <c r="A22" s="14" t="s">
        <v>130</v>
      </c>
      <c r="B22" s="14">
        <v>2.1318467863266499</v>
      </c>
      <c r="C22" s="14"/>
      <c r="D22" s="44"/>
      <c r="E22" s="44"/>
      <c r="F22" s="44"/>
      <c r="G22" s="44"/>
      <c r="H22" s="44"/>
      <c r="I22" s="44"/>
      <c r="J22" s="44"/>
      <c r="K22" s="44"/>
    </row>
    <row r="23" spans="1:11">
      <c r="A23" s="14" t="s">
        <v>131</v>
      </c>
      <c r="B23" s="14">
        <v>0.48765105385873331</v>
      </c>
      <c r="C23" s="14"/>
      <c r="D23" s="44"/>
      <c r="E23" s="44"/>
      <c r="F23" s="194"/>
      <c r="G23" s="44"/>
      <c r="H23" s="44"/>
      <c r="I23" s="44"/>
      <c r="J23" s="44"/>
      <c r="K23" s="44"/>
    </row>
    <row r="24" spans="1:11" ht="15" thickBot="1">
      <c r="A24" s="88" t="s">
        <v>132</v>
      </c>
      <c r="B24" s="88">
        <v>2.7764451051977934</v>
      </c>
      <c r="C24" s="88"/>
      <c r="D24" s="44"/>
      <c r="E24" s="44"/>
      <c r="F24" s="194"/>
      <c r="G24" s="44"/>
      <c r="H24" s="44"/>
      <c r="I24" s="44"/>
      <c r="J24" s="44"/>
      <c r="K24" s="44"/>
    </row>
    <row r="25" spans="1:11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8" spans="1:11" ht="33" customHeight="1"/>
  </sheetData>
  <mergeCells count="3">
    <mergeCell ref="F16:F17"/>
    <mergeCell ref="F14:F15"/>
    <mergeCell ref="F23:F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3"/>
  <sheetViews>
    <sheetView topLeftCell="B1" zoomScale="115" zoomScaleNormal="115" workbookViewId="0">
      <selection activeCell="G13" sqref="G13"/>
    </sheetView>
  </sheetViews>
  <sheetFormatPr defaultColWidth="28.109375" defaultRowHeight="13.8"/>
  <cols>
    <col min="1" max="1" width="39.88671875" style="121" customWidth="1"/>
    <col min="2" max="2" width="19.6640625" style="121" customWidth="1"/>
    <col min="3" max="3" width="18.33203125" style="121" customWidth="1"/>
    <col min="4" max="4" width="15.6640625" style="124" customWidth="1"/>
    <col min="5" max="5" width="21" style="124" customWidth="1"/>
    <col min="6" max="6" width="16" style="124" customWidth="1"/>
    <col min="7" max="7" width="17.88671875" style="124" customWidth="1"/>
    <col min="8" max="8" width="24.44140625" style="121" customWidth="1"/>
    <col min="9" max="9" width="15.6640625" style="121" customWidth="1"/>
    <col min="10" max="10" width="16.33203125" style="121" customWidth="1"/>
    <col min="11" max="11" width="16.109375" style="121" customWidth="1"/>
    <col min="12" max="16384" width="28.109375" style="121"/>
  </cols>
  <sheetData>
    <row r="1" spans="1:12" s="119" customFormat="1" ht="21">
      <c r="A1" s="118" t="s">
        <v>100</v>
      </c>
      <c r="B1" s="118"/>
      <c r="C1" s="178"/>
      <c r="D1" s="120"/>
      <c r="E1" s="179"/>
      <c r="F1" s="120"/>
      <c r="G1" s="120"/>
      <c r="H1" s="120"/>
    </row>
    <row r="2" spans="1:12" ht="72" customHeight="1">
      <c r="B2" s="122" t="s">
        <v>61</v>
      </c>
      <c r="C2" s="122" t="s">
        <v>35</v>
      </c>
      <c r="D2" s="123" t="s">
        <v>95</v>
      </c>
      <c r="E2" s="123" t="s">
        <v>36</v>
      </c>
      <c r="F2" s="123" t="s">
        <v>94</v>
      </c>
      <c r="G2" s="123" t="s">
        <v>133</v>
      </c>
      <c r="H2" s="124" t="s">
        <v>176</v>
      </c>
      <c r="I2" s="122" t="s">
        <v>134</v>
      </c>
      <c r="J2" s="123" t="s">
        <v>135</v>
      </c>
    </row>
    <row r="3" spans="1:12" ht="46.5" customHeight="1">
      <c r="A3" s="121" t="s">
        <v>75</v>
      </c>
      <c r="B3" s="122"/>
      <c r="C3" s="196" t="s">
        <v>276</v>
      </c>
      <c r="D3" s="196"/>
      <c r="E3" s="195" t="s">
        <v>277</v>
      </c>
      <c r="F3" s="195"/>
      <c r="G3" s="195" t="s">
        <v>278</v>
      </c>
      <c r="H3" s="195"/>
    </row>
    <row r="4" spans="1:12" ht="12.9" customHeight="1">
      <c r="A4" s="121" t="s">
        <v>93</v>
      </c>
      <c r="B4" s="125">
        <f>'Table S4'!B9*'Table S4'!B10/1000</f>
        <v>29.825280000000003</v>
      </c>
      <c r="C4" s="126">
        <f>('Figure 6-Leaching C'!P39)*2/1000</f>
        <v>1.5659655097499998</v>
      </c>
      <c r="D4" s="127">
        <f>C4/B4</f>
        <v>5.250463733282637E-2</v>
      </c>
      <c r="E4" s="128">
        <f>AVERAGE('Table 1-grass C'!G3:G5)</f>
        <v>1.8697189241666667</v>
      </c>
      <c r="F4" s="127">
        <f>E4/B4</f>
        <v>6.2689065254933618E-2</v>
      </c>
      <c r="G4" s="128">
        <f>('Figure 2-Soil C'!K16-'Figure 2-Soil C'!K6)</f>
        <v>2.9065486499999995</v>
      </c>
      <c r="H4" s="129">
        <f>G4*9</f>
        <v>26.158937849999994</v>
      </c>
      <c r="I4" s="130">
        <f>E4+B4-H4-C4</f>
        <v>3.9700955644166749</v>
      </c>
      <c r="J4" s="131">
        <f>I4/B4</f>
        <v>0.13311176171411213</v>
      </c>
      <c r="K4" s="132"/>
      <c r="L4" s="133"/>
    </row>
    <row r="5" spans="1:12" ht="18" customHeight="1">
      <c r="A5" s="121" t="s">
        <v>74</v>
      </c>
      <c r="B5" s="121">
        <v>0.56999999999999995</v>
      </c>
      <c r="C5" s="126">
        <f>'Table 2-Total change'!U39/1000</f>
        <v>0</v>
      </c>
      <c r="D5" s="128"/>
      <c r="E5" s="128">
        <f>_xlfn.STDEV.S('Table 1-grass C'!G3:G5)</f>
        <v>0.57823200249241391</v>
      </c>
      <c r="F5" s="128"/>
      <c r="G5" s="128">
        <f>('Figure 2-Soil C'!L6^2+'Figure 2-Soil C'!L16^2)^0.5</f>
        <v>2.4751388851007583</v>
      </c>
      <c r="H5" s="129">
        <f>G5*9</f>
        <v>22.276249965906825</v>
      </c>
      <c r="I5" s="130">
        <f>(H5^2+E5^2+C5^2+B5^2)^0.5</f>
        <v>22.291042254508206</v>
      </c>
      <c r="J5" s="131"/>
      <c r="L5" s="124"/>
    </row>
    <row r="6" spans="1:12">
      <c r="A6" s="121" t="s">
        <v>62</v>
      </c>
      <c r="B6" s="125">
        <f>'Table S4'!B9*'Table S4'!B10/1000</f>
        <v>29.825280000000003</v>
      </c>
      <c r="C6" s="126">
        <f>('Figure 6-Leaching C'!S39*2/1000)</f>
        <v>1.5739401307500001</v>
      </c>
      <c r="D6" s="127">
        <f>C6/B6</f>
        <v>5.2772015241768055E-2</v>
      </c>
      <c r="E6" s="128">
        <f>AVERAGE('Table 1-grass C'!G6:G8)</f>
        <v>2.2582077283333333</v>
      </c>
      <c r="F6" s="127">
        <f>E6/B6</f>
        <v>7.5714552498193921E-2</v>
      </c>
      <c r="G6" s="128">
        <f>('Figure 2-Soil C'!K28-'Figure 2-Soil C'!K18)</f>
        <v>-0.36292364999999727</v>
      </c>
      <c r="H6" s="129">
        <f>G6*9</f>
        <v>-3.2663128499999754</v>
      </c>
      <c r="I6" s="130">
        <f>E6-C6+B6-H6</f>
        <v>33.775860447583312</v>
      </c>
      <c r="J6" s="131">
        <f>I6/B6</f>
        <v>1.1324574470913034</v>
      </c>
      <c r="K6" s="124"/>
      <c r="L6" s="124"/>
    </row>
    <row r="7" spans="1:12" ht="19.95" customHeight="1">
      <c r="A7" s="124" t="s">
        <v>74</v>
      </c>
      <c r="B7" s="124">
        <v>0.56999999999999995</v>
      </c>
      <c r="C7" s="128">
        <f>'Figure 6-Leaching C'!U39/1000</f>
        <v>2.2180256245454727E-4</v>
      </c>
      <c r="D7" s="128"/>
      <c r="E7" s="128">
        <f>_xlfn.STDEV.S('Table 1-grass C'!G6:G8)</f>
        <v>0.66492382134411154</v>
      </c>
      <c r="F7" s="128"/>
      <c r="G7" s="128">
        <f>('Figure 2-Soil C'!L18^2+'Figure 2-Soil C'!L28^2)^0.5</f>
        <v>1.9169372912821947</v>
      </c>
      <c r="H7" s="129">
        <f>G7*9</f>
        <v>17.252435621539753</v>
      </c>
      <c r="I7" s="130">
        <f>(H7^2+E7^2+C7^2+B7^2)^0.5</f>
        <v>17.274650752265906</v>
      </c>
      <c r="J7" s="124"/>
      <c r="K7" s="124"/>
      <c r="L7" s="124"/>
    </row>
    <row r="8" spans="1:12">
      <c r="G8" s="134"/>
      <c r="H8" s="124"/>
      <c r="J8" s="124"/>
      <c r="K8" s="124"/>
      <c r="L8" s="124"/>
    </row>
    <row r="9" spans="1:12">
      <c r="G9" s="128"/>
      <c r="J9" s="124"/>
      <c r="K9" s="124"/>
      <c r="L9" s="124"/>
    </row>
    <row r="10" spans="1:12">
      <c r="G10" s="135"/>
      <c r="H10" s="124"/>
      <c r="J10" s="124"/>
      <c r="K10" s="124"/>
      <c r="L10" s="124"/>
    </row>
    <row r="11" spans="1:12">
      <c r="G11" s="128"/>
      <c r="H11" s="124"/>
      <c r="I11" s="121">
        <f>(I6-B6)/B6</f>
        <v>0.13245744709130339</v>
      </c>
      <c r="J11" s="124"/>
      <c r="K11" s="124"/>
      <c r="L11" s="124"/>
    </row>
    <row r="12" spans="1:12">
      <c r="G12" s="135"/>
      <c r="H12" s="124"/>
      <c r="J12" s="124"/>
      <c r="K12" s="124"/>
      <c r="L12" s="124"/>
    </row>
    <row r="13" spans="1:12">
      <c r="E13" s="124" t="s">
        <v>97</v>
      </c>
      <c r="F13" s="124" t="s">
        <v>98</v>
      </c>
      <c r="G13" s="124">
        <v>1</v>
      </c>
      <c r="H13" s="124"/>
    </row>
    <row r="14" spans="1:12" ht="27.6">
      <c r="E14" s="123" t="s">
        <v>96</v>
      </c>
      <c r="F14" s="124" t="s">
        <v>99</v>
      </c>
      <c r="G14" s="129">
        <f>G13*10000*G4/1000</f>
        <v>29.065486499999995</v>
      </c>
      <c r="H14" s="156"/>
    </row>
    <row r="15" spans="1:12">
      <c r="F15" s="124" t="s">
        <v>74</v>
      </c>
      <c r="G15" s="129">
        <f>G5*10000*G13/1000</f>
        <v>24.751388851007583</v>
      </c>
      <c r="H15" s="124"/>
    </row>
    <row r="16" spans="1:12" ht="27.6">
      <c r="B16" s="122"/>
      <c r="C16" s="122"/>
      <c r="D16" s="123"/>
      <c r="E16" s="123" t="s">
        <v>279</v>
      </c>
      <c r="F16" s="123"/>
      <c r="G16" s="123"/>
      <c r="H16" s="123"/>
    </row>
    <row r="17" spans="4:7">
      <c r="E17" s="124" t="s">
        <v>262</v>
      </c>
      <c r="F17" s="124" t="s">
        <v>98</v>
      </c>
      <c r="G17" s="124">
        <v>16</v>
      </c>
    </row>
    <row r="18" spans="4:7">
      <c r="E18" s="124" t="s">
        <v>263</v>
      </c>
      <c r="F18" s="124" t="s">
        <v>98</v>
      </c>
      <c r="G18" s="124">
        <v>9</v>
      </c>
    </row>
    <row r="19" spans="4:7" ht="61.95" customHeight="1">
      <c r="E19" s="123" t="s">
        <v>264</v>
      </c>
      <c r="F19" s="124" t="s">
        <v>265</v>
      </c>
      <c r="G19" s="129">
        <f>(G18+G17)*10000*G4/1000</f>
        <v>726.63716249999982</v>
      </c>
    </row>
    <row r="20" spans="4:7" ht="14.1" customHeight="1">
      <c r="D20" s="195"/>
      <c r="E20" s="195" t="s">
        <v>280</v>
      </c>
      <c r="G20" s="128">
        <f>G19/6406</f>
        <v>0.11343071534498904</v>
      </c>
    </row>
    <row r="21" spans="4:7">
      <c r="D21" s="195"/>
      <c r="E21" s="195"/>
    </row>
    <row r="22" spans="4:7" ht="43.8" customHeight="1">
      <c r="D22" s="195"/>
      <c r="E22" s="195"/>
    </row>
    <row r="23" spans="4:7">
      <c r="D23" s="195"/>
      <c r="E23" s="195"/>
    </row>
  </sheetData>
  <mergeCells count="5">
    <mergeCell ref="G3:H3"/>
    <mergeCell ref="E3:F3"/>
    <mergeCell ref="C3:D3"/>
    <mergeCell ref="E20:E23"/>
    <mergeCell ref="D20:D23"/>
  </mergeCells>
  <phoneticPr fontId="1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80EF9-EE4B-4C0D-980E-E1E0B44F8527}">
  <dimension ref="A1:C18"/>
  <sheetViews>
    <sheetView workbookViewId="0">
      <selection activeCell="B15" sqref="B15"/>
    </sheetView>
  </sheetViews>
  <sheetFormatPr defaultColWidth="9.33203125" defaultRowHeight="15"/>
  <cols>
    <col min="1" max="1" width="73.44140625" style="104" customWidth="1"/>
    <col min="2" max="2" width="19.88671875" style="105" customWidth="1"/>
    <col min="3" max="3" width="25.88671875" style="104" customWidth="1"/>
    <col min="4" max="16384" width="9.33203125" style="104"/>
  </cols>
  <sheetData>
    <row r="1" spans="1:3" s="107" customFormat="1" ht="25.8">
      <c r="A1" s="149" t="s">
        <v>180</v>
      </c>
      <c r="B1" s="150"/>
      <c r="C1" s="151"/>
    </row>
    <row r="2" spans="1:3" s="106" customFormat="1" ht="16.2">
      <c r="A2" s="152" t="s">
        <v>107</v>
      </c>
      <c r="B2" s="153" t="s">
        <v>155</v>
      </c>
      <c r="C2" s="152"/>
    </row>
    <row r="3" spans="1:3">
      <c r="A3" s="154" t="s">
        <v>255</v>
      </c>
      <c r="B3" s="155">
        <v>0.15</v>
      </c>
      <c r="C3" s="154"/>
    </row>
    <row r="4" spans="1:3">
      <c r="A4" s="154" t="s">
        <v>156</v>
      </c>
      <c r="B4" s="155">
        <v>1600</v>
      </c>
      <c r="C4" s="154"/>
    </row>
    <row r="5" spans="1:3">
      <c r="A5" s="154" t="s">
        <v>157</v>
      </c>
      <c r="B5" s="155">
        <v>9</v>
      </c>
      <c r="C5" s="154"/>
    </row>
    <row r="6" spans="1:3">
      <c r="A6" s="154" t="s">
        <v>256</v>
      </c>
      <c r="B6" s="155">
        <f>B3*B5</f>
        <v>1.3499999999999999</v>
      </c>
      <c r="C6" s="154"/>
    </row>
    <row r="7" spans="1:3">
      <c r="A7" s="154" t="s">
        <v>257</v>
      </c>
      <c r="B7" s="155">
        <f>B6*B4</f>
        <v>2160</v>
      </c>
      <c r="C7" s="154"/>
    </row>
    <row r="8" spans="1:3">
      <c r="A8" s="154" t="s">
        <v>258</v>
      </c>
      <c r="B8" s="155">
        <v>0.02</v>
      </c>
      <c r="C8" s="154"/>
    </row>
    <row r="9" spans="1:3">
      <c r="A9" s="154" t="s">
        <v>158</v>
      </c>
      <c r="B9" s="155">
        <f>B7*B8</f>
        <v>43.2</v>
      </c>
      <c r="C9" s="154"/>
    </row>
    <row r="10" spans="1:3">
      <c r="A10" s="154" t="s">
        <v>259</v>
      </c>
      <c r="B10" s="155">
        <v>690.4</v>
      </c>
      <c r="C10" s="180"/>
    </row>
    <row r="11" spans="1:3">
      <c r="A11" s="154" t="s">
        <v>159</v>
      </c>
      <c r="B11" s="155">
        <f>B10*B9</f>
        <v>29825.280000000002</v>
      </c>
      <c r="C11" s="180"/>
    </row>
    <row r="12" spans="1:3">
      <c r="A12" s="154" t="s">
        <v>260</v>
      </c>
      <c r="B12" s="155">
        <v>463.3</v>
      </c>
      <c r="C12" s="180"/>
    </row>
    <row r="13" spans="1:3">
      <c r="A13" s="154" t="s">
        <v>160</v>
      </c>
      <c r="B13" s="155">
        <f>$B$11</f>
        <v>29825.280000000002</v>
      </c>
      <c r="C13" s="180"/>
    </row>
    <row r="14" spans="1:3">
      <c r="A14" s="154" t="s">
        <v>161</v>
      </c>
      <c r="B14" s="155">
        <f>B13/B12</f>
        <v>64.375739261817401</v>
      </c>
      <c r="C14" s="180"/>
    </row>
    <row r="15" spans="1:3">
      <c r="A15" s="154" t="s">
        <v>281</v>
      </c>
      <c r="B15" s="155">
        <f>B14/B5*10</f>
        <v>71.528599179797112</v>
      </c>
      <c r="C15" s="180"/>
    </row>
    <row r="16" spans="1:3">
      <c r="C16" s="181"/>
    </row>
    <row r="17" spans="3:3">
      <c r="C17" s="181"/>
    </row>
    <row r="18" spans="3:3">
      <c r="C18" s="1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232-1BAF-4237-BB3E-03957E17483E}">
  <dimension ref="B1:L180"/>
  <sheetViews>
    <sheetView zoomScale="90" zoomScaleNormal="90" workbookViewId="0">
      <selection activeCell="G25" sqref="G25"/>
    </sheetView>
  </sheetViews>
  <sheetFormatPr defaultColWidth="9.33203125" defaultRowHeight="14.4"/>
  <cols>
    <col min="1" max="1" width="9.33203125" style="65"/>
    <col min="2" max="2" width="19.109375" style="72" customWidth="1"/>
    <col min="3" max="3" width="25.109375" style="65" customWidth="1"/>
    <col min="4" max="4" width="19.109375" style="65" customWidth="1"/>
    <col min="5" max="5" width="9.33203125" style="71"/>
    <col min="6" max="6" width="14.88671875" style="72" customWidth="1"/>
    <col min="7" max="7" width="20.33203125" style="65" customWidth="1"/>
    <col min="8" max="8" width="13.5546875" style="65" customWidth="1"/>
    <col min="9" max="9" width="9.33203125" style="71"/>
    <col min="10" max="16384" width="9.33203125" style="65"/>
  </cols>
  <sheetData>
    <row r="1" spans="2:12">
      <c r="B1" s="184" t="s">
        <v>266</v>
      </c>
      <c r="C1" s="184"/>
      <c r="D1" s="184"/>
      <c r="E1" s="184"/>
      <c r="F1" s="197" t="s">
        <v>106</v>
      </c>
      <c r="G1" s="197"/>
      <c r="H1" s="197"/>
      <c r="I1" s="197"/>
    </row>
    <row r="2" spans="2:12" ht="16.8">
      <c r="B2" s="66" t="s">
        <v>6</v>
      </c>
      <c r="C2" s="67" t="s">
        <v>107</v>
      </c>
      <c r="D2" s="68" t="s">
        <v>108</v>
      </c>
      <c r="E2" s="68" t="s">
        <v>109</v>
      </c>
      <c r="F2" s="66" t="s">
        <v>6</v>
      </c>
      <c r="G2" s="67" t="s">
        <v>107</v>
      </c>
      <c r="H2" s="68" t="s">
        <v>108</v>
      </c>
      <c r="I2" s="68" t="s">
        <v>109</v>
      </c>
      <c r="J2" s="67"/>
      <c r="L2" s="67"/>
    </row>
    <row r="3" spans="2:12">
      <c r="B3" s="66"/>
      <c r="C3" s="69" t="s">
        <v>110</v>
      </c>
      <c r="D3" s="70">
        <v>-29.532755999999999</v>
      </c>
      <c r="E3" s="68"/>
      <c r="F3" s="66"/>
      <c r="G3" s="69" t="s">
        <v>111</v>
      </c>
      <c r="H3" s="70">
        <v>-28.953955000000001</v>
      </c>
    </row>
    <row r="4" spans="2:12">
      <c r="B4" s="66">
        <v>43270</v>
      </c>
      <c r="C4" s="67" t="s">
        <v>112</v>
      </c>
      <c r="D4" s="68">
        <v>-23.935245999999999</v>
      </c>
      <c r="E4" s="68"/>
      <c r="F4" s="66">
        <v>43270</v>
      </c>
      <c r="G4" s="67" t="s">
        <v>112</v>
      </c>
      <c r="H4" s="68">
        <v>-23.935245999999999</v>
      </c>
    </row>
    <row r="5" spans="2:12">
      <c r="B5" s="66">
        <v>43270</v>
      </c>
      <c r="C5" s="67" t="s">
        <v>113</v>
      </c>
      <c r="D5" s="68">
        <v>-24.552883999999999</v>
      </c>
      <c r="F5" s="66">
        <v>43270</v>
      </c>
      <c r="G5" s="67" t="s">
        <v>113</v>
      </c>
      <c r="H5" s="68">
        <v>-24.552883999999999</v>
      </c>
    </row>
    <row r="6" spans="2:12">
      <c r="B6" s="66">
        <v>43328</v>
      </c>
      <c r="C6" s="67" t="s">
        <v>114</v>
      </c>
      <c r="D6" s="68">
        <v>-25.441064999999998</v>
      </c>
      <c r="E6" s="68">
        <f>(D6-D4)/(D3-D4)</f>
        <v>0.26901586598326738</v>
      </c>
      <c r="F6" s="66">
        <v>43328</v>
      </c>
      <c r="G6" s="67" t="s">
        <v>115</v>
      </c>
      <c r="H6" s="68">
        <v>-24.678578000000002</v>
      </c>
      <c r="I6" s="68">
        <f>(H6-H4)/(H3-H4)</f>
        <v>0.14811219379326479</v>
      </c>
    </row>
    <row r="7" spans="2:12">
      <c r="B7" s="66">
        <v>43371</v>
      </c>
      <c r="C7" s="67" t="s">
        <v>114</v>
      </c>
      <c r="D7" s="68">
        <v>-25.756740000000001</v>
      </c>
      <c r="E7" s="68">
        <f>(D7-D4)/(D3-D4)</f>
        <v>0.32541147760343464</v>
      </c>
      <c r="F7" s="66">
        <v>43371</v>
      </c>
      <c r="G7" s="67" t="s">
        <v>115</v>
      </c>
      <c r="H7" s="68">
        <v>-24.864401999999998</v>
      </c>
      <c r="I7" s="68">
        <f>(H7-H4)/(H3-H4)</f>
        <v>0.18513844895171225</v>
      </c>
    </row>
    <row r="8" spans="2:12">
      <c r="B8" s="66">
        <v>43517</v>
      </c>
      <c r="C8" s="67" t="s">
        <v>114</v>
      </c>
      <c r="D8" s="68">
        <v>-25.909191</v>
      </c>
      <c r="E8" s="68">
        <f>(D8-D4)/(D3-D4)</f>
        <v>0.35264698053241539</v>
      </c>
      <c r="F8" s="66">
        <v>43517</v>
      </c>
      <c r="G8" s="67" t="s">
        <v>115</v>
      </c>
      <c r="H8" s="68">
        <v>-25.909268000000001</v>
      </c>
      <c r="I8" s="68">
        <f>(H8-H4)/(H3-H4)</f>
        <v>0.39333262797265212</v>
      </c>
    </row>
    <row r="9" spans="2:12">
      <c r="B9" s="66">
        <v>43620</v>
      </c>
      <c r="C9" s="67" t="s">
        <v>114</v>
      </c>
      <c r="D9" s="68">
        <v>-26.564326000000001</v>
      </c>
      <c r="E9" s="68">
        <f>(D9-D4)/(D3-D4)</f>
        <v>0.46968741458255581</v>
      </c>
      <c r="F9" s="66">
        <v>43620</v>
      </c>
      <c r="G9" s="67" t="s">
        <v>115</v>
      </c>
      <c r="H9" s="68">
        <v>-24.965764</v>
      </c>
      <c r="I9" s="68">
        <f>(H9-H4)/(H3-H4)</f>
        <v>0.20533527646253258</v>
      </c>
    </row>
    <row r="10" spans="2:12">
      <c r="B10" s="66">
        <v>43696</v>
      </c>
      <c r="C10" s="67" t="s">
        <v>114</v>
      </c>
      <c r="D10" s="68">
        <v>-25.782859999999999</v>
      </c>
      <c r="E10" s="68">
        <f>(D10-D4)/(D3-D4)</f>
        <v>0.33007783818162006</v>
      </c>
      <c r="F10" s="66">
        <v>43696</v>
      </c>
      <c r="G10" s="67" t="s">
        <v>115</v>
      </c>
      <c r="H10" s="68">
        <v>-25.160340999999999</v>
      </c>
      <c r="I10" s="68">
        <f>(H10-H4)/(H3-H4)</f>
        <v>0.24410560564479816</v>
      </c>
    </row>
    <row r="11" spans="2:12">
      <c r="B11" s="72">
        <v>43840</v>
      </c>
      <c r="C11" s="67" t="s">
        <v>114</v>
      </c>
      <c r="D11" s="68">
        <v>-25.162331999999999</v>
      </c>
      <c r="E11" s="68">
        <f>(D11-D4)/(D3-D4)</f>
        <v>0.21921997459584708</v>
      </c>
      <c r="F11" s="72">
        <v>43840</v>
      </c>
      <c r="G11" s="67" t="s">
        <v>115</v>
      </c>
      <c r="H11" s="68">
        <v>-24.876735</v>
      </c>
      <c r="I11" s="68">
        <f>(H11-H4)/(H3-H4)</f>
        <v>0.18759585383412358</v>
      </c>
    </row>
    <row r="12" spans="2:12" ht="15.6">
      <c r="B12" s="73">
        <v>44058</v>
      </c>
      <c r="C12" s="74" t="s">
        <v>114</v>
      </c>
      <c r="D12" s="75">
        <v>-23.977786999999999</v>
      </c>
      <c r="E12" s="68">
        <f>(D12-D4)/(D3-D4)</f>
        <v>7.5999864225342953E-3</v>
      </c>
      <c r="F12" s="73">
        <v>44058</v>
      </c>
      <c r="G12" s="74" t="s">
        <v>115</v>
      </c>
      <c r="H12" s="75">
        <v>-24.531327000000001</v>
      </c>
      <c r="I12" s="68">
        <f>(H12-H4)/(H3-H4)</f>
        <v>0.11877177975451486</v>
      </c>
    </row>
    <row r="13" spans="2:12" ht="15.6">
      <c r="B13" s="73">
        <v>44252</v>
      </c>
      <c r="C13" s="74" t="s">
        <v>114</v>
      </c>
      <c r="D13" s="75">
        <v>-24.979033000000001</v>
      </c>
      <c r="E13" s="68">
        <f>(D13-D4)/(D3-D4)</f>
        <v>0.18647344980178721</v>
      </c>
      <c r="F13" s="73">
        <v>44252</v>
      </c>
      <c r="G13" s="74" t="s">
        <v>115</v>
      </c>
      <c r="H13" s="75">
        <v>-24.663072</v>
      </c>
      <c r="I13" s="68">
        <f>(H13-H4)/(H3-H4)</f>
        <v>0.14502255460517838</v>
      </c>
    </row>
    <row r="14" spans="2:12" ht="15.6">
      <c r="B14" s="73">
        <v>44372</v>
      </c>
      <c r="C14" s="74" t="s">
        <v>114</v>
      </c>
      <c r="D14" s="75">
        <v>-24.808423000000001</v>
      </c>
      <c r="E14" s="68">
        <f>(D14-D4)/(D3-D4)</f>
        <v>0.15599382582612659</v>
      </c>
      <c r="F14" s="73">
        <v>44372</v>
      </c>
      <c r="G14" s="74" t="s">
        <v>115</v>
      </c>
      <c r="H14" s="75">
        <v>-24.459734000000001</v>
      </c>
      <c r="I14" s="68">
        <f>(H14-H4)/(H3-H4)</f>
        <v>0.10450655736365697</v>
      </c>
    </row>
    <row r="15" spans="2:12" s="77" customFormat="1">
      <c r="B15" s="76" t="s">
        <v>116</v>
      </c>
      <c r="E15" s="78">
        <f>AVERAGEA(E6:E14)</f>
        <v>0.25734742372550984</v>
      </c>
      <c r="F15" s="76" t="s">
        <v>116</v>
      </c>
      <c r="I15" s="78">
        <f>AVERAGEA(I6:I14)</f>
        <v>0.19243565537582599</v>
      </c>
    </row>
    <row r="16" spans="2:12">
      <c r="B16" s="66">
        <v>43328</v>
      </c>
      <c r="C16" s="67" t="s">
        <v>117</v>
      </c>
      <c r="D16" s="68">
        <v>-25.519652000000001</v>
      </c>
      <c r="E16" s="68">
        <f>(D16-D5)/(D3-D5)</f>
        <v>0.19413511030002414</v>
      </c>
      <c r="F16" s="66">
        <v>43328</v>
      </c>
      <c r="G16" s="67" t="s">
        <v>118</v>
      </c>
      <c r="H16" s="68">
        <v>-24.534960000000002</v>
      </c>
      <c r="I16" s="68">
        <f>(H16-H5)/(H3-H5)</f>
        <v>-4.0726450448077657E-3</v>
      </c>
    </row>
    <row r="17" spans="2:11">
      <c r="B17" s="66">
        <v>43620</v>
      </c>
      <c r="C17" s="67" t="s">
        <v>119</v>
      </c>
      <c r="D17" s="68">
        <v>-25.384633999999998</v>
      </c>
      <c r="E17" s="68">
        <f>(D17-D5)/(D3-D5)</f>
        <v>0.16702236523348382</v>
      </c>
      <c r="F17" s="66">
        <v>43620</v>
      </c>
      <c r="G17" s="67" t="s">
        <v>120</v>
      </c>
      <c r="H17" s="68">
        <v>-24.031524000000001</v>
      </c>
      <c r="I17" s="68">
        <f>(H17-H5)/(H3-H5)</f>
        <v>-0.118462074345085</v>
      </c>
    </row>
    <row r="18" spans="2:11">
      <c r="B18" s="66">
        <v>43696</v>
      </c>
      <c r="C18" s="67" t="s">
        <v>119</v>
      </c>
      <c r="D18" s="68">
        <v>-25.010667000000002</v>
      </c>
      <c r="E18" s="68">
        <f>(D18-D5)/(D3-D5)</f>
        <v>9.1926659962344948E-2</v>
      </c>
      <c r="F18" s="66">
        <v>43696</v>
      </c>
      <c r="G18" s="67" t="s">
        <v>120</v>
      </c>
      <c r="H18" s="68">
        <v>-24.530024000000001</v>
      </c>
      <c r="I18" s="68">
        <f>(H18-H5)/(H3-H5)</f>
        <v>-5.1941902323316014E-3</v>
      </c>
    </row>
    <row r="19" spans="2:11">
      <c r="B19" s="72">
        <v>43840</v>
      </c>
      <c r="C19" s="67" t="s">
        <v>119</v>
      </c>
      <c r="D19" s="68">
        <v>-24.562344</v>
      </c>
      <c r="E19" s="68">
        <f>(D19-D5)/(D3-D5)</f>
        <v>1.8996472198483595E-3</v>
      </c>
      <c r="F19" s="72">
        <v>43840</v>
      </c>
      <c r="G19" s="67" t="s">
        <v>120</v>
      </c>
      <c r="H19" s="68">
        <v>-24.484394000000002</v>
      </c>
      <c r="I19" s="68">
        <f>(H19-H5)/(H3-H5)</f>
        <v>-1.5562121129151752E-2</v>
      </c>
    </row>
    <row r="20" spans="2:11" ht="15.6">
      <c r="B20" s="73">
        <v>44058</v>
      </c>
      <c r="C20" s="74" t="s">
        <v>119</v>
      </c>
      <c r="D20" s="75">
        <v>-24.533056999999999</v>
      </c>
      <c r="E20" s="68">
        <f>(D20-D5)/(D3-D5)</f>
        <v>-3.981427635087683E-3</v>
      </c>
      <c r="F20" s="73">
        <v>44058</v>
      </c>
      <c r="G20" s="74" t="s">
        <v>120</v>
      </c>
      <c r="H20" s="75">
        <v>-24.251815000000001</v>
      </c>
      <c r="I20" s="68">
        <f>(H20-H5)/(H3-H5)</f>
        <v>-6.8408121568590496E-2</v>
      </c>
      <c r="K20" s="67"/>
    </row>
    <row r="21" spans="2:11" ht="15.6">
      <c r="B21" s="73">
        <v>44252</v>
      </c>
      <c r="C21" s="74" t="s">
        <v>119</v>
      </c>
      <c r="D21" s="75">
        <v>-25.054316</v>
      </c>
      <c r="E21" s="68">
        <f>(D21-D5)/(D3-D5)</f>
        <v>0.10069174468741389</v>
      </c>
      <c r="F21" s="73">
        <v>44252</v>
      </c>
      <c r="G21" s="74" t="s">
        <v>120</v>
      </c>
      <c r="H21" s="75">
        <v>-24.077817</v>
      </c>
      <c r="I21" s="68">
        <f>(H21-H5)/(H3-H5)</f>
        <v>-0.10794349829848213</v>
      </c>
      <c r="K21" s="67"/>
    </row>
    <row r="22" spans="2:11" ht="15.6">
      <c r="B22" s="73">
        <v>44372</v>
      </c>
      <c r="C22" s="74" t="s">
        <v>119</v>
      </c>
      <c r="D22" s="75">
        <v>-24.13</v>
      </c>
      <c r="E22" s="68">
        <f>(D22-D5)/(D3-D5)</f>
        <v>-8.4918648511447647E-2</v>
      </c>
      <c r="F22" s="73">
        <v>44372</v>
      </c>
      <c r="G22" s="74" t="s">
        <v>120</v>
      </c>
      <c r="H22" s="75">
        <v>-23.932483000000001</v>
      </c>
      <c r="I22" s="68">
        <f>(H22-H5)/(H3-H5)</f>
        <v>-0.14096591488753471</v>
      </c>
    </row>
    <row r="23" spans="2:11" s="77" customFormat="1">
      <c r="B23" s="76" t="s">
        <v>116</v>
      </c>
      <c r="E23" s="78">
        <f>AVERAGE(E16:E22)</f>
        <v>6.6682207322368556E-2</v>
      </c>
      <c r="F23" s="76" t="s">
        <v>116</v>
      </c>
      <c r="I23" s="78">
        <f>AVERAGE(I16:I22)</f>
        <v>-6.5801223643711923E-2</v>
      </c>
    </row>
    <row r="24" spans="2:11">
      <c r="E24" s="68"/>
    </row>
    <row r="25" spans="2:11">
      <c r="E25" s="68"/>
    </row>
    <row r="26" spans="2:11">
      <c r="B26" s="79"/>
      <c r="C26" s="80"/>
      <c r="D26" s="28">
        <f>AVERAGE(D6:D14)</f>
        <v>-25.375750777777778</v>
      </c>
      <c r="E26" s="81"/>
      <c r="F26" s="79"/>
      <c r="G26" s="80"/>
      <c r="H26" s="28">
        <f>AVERAGE(H6:H14)</f>
        <v>-24.901024555555558</v>
      </c>
    </row>
    <row r="27" spans="2:11">
      <c r="B27" s="79"/>
      <c r="C27" s="80"/>
      <c r="D27" s="80"/>
      <c r="E27" s="80"/>
      <c r="F27" s="79"/>
      <c r="G27" s="80"/>
    </row>
    <row r="28" spans="2:11">
      <c r="B28" s="79"/>
      <c r="C28" s="80"/>
      <c r="D28" s="80"/>
      <c r="E28" s="81"/>
      <c r="F28" s="79"/>
      <c r="G28" s="80"/>
    </row>
    <row r="29" spans="2:11">
      <c r="B29" s="79"/>
      <c r="C29" s="80"/>
      <c r="D29" s="80"/>
      <c r="E29" s="81"/>
      <c r="F29" s="79"/>
      <c r="G29" s="80"/>
    </row>
    <row r="30" spans="2:11">
      <c r="B30" s="82"/>
      <c r="C30" s="83"/>
      <c r="D30" s="81"/>
      <c r="E30" s="81"/>
      <c r="F30" s="79"/>
      <c r="G30" s="80"/>
    </row>
    <row r="31" spans="2:11">
      <c r="B31" s="82"/>
      <c r="C31" s="83"/>
      <c r="D31" s="81"/>
      <c r="E31" s="81"/>
      <c r="F31" s="79"/>
      <c r="G31" s="80"/>
    </row>
    <row r="32" spans="2:11">
      <c r="B32" s="79"/>
      <c r="C32" s="80"/>
      <c r="D32" s="80"/>
      <c r="E32" s="28"/>
      <c r="F32" s="79"/>
      <c r="G32" s="80"/>
    </row>
    <row r="33" spans="2:7">
      <c r="B33" s="79"/>
      <c r="C33" s="80"/>
      <c r="D33" s="80"/>
      <c r="E33" s="28"/>
      <c r="F33" s="79"/>
      <c r="G33" s="80"/>
    </row>
    <row r="34" spans="2:7">
      <c r="B34" s="79"/>
      <c r="C34" s="80"/>
      <c r="D34" s="80"/>
      <c r="E34" s="28"/>
      <c r="F34" s="79"/>
      <c r="G34" s="80"/>
    </row>
    <row r="35" spans="2:7">
      <c r="B35" s="79"/>
      <c r="C35" s="80"/>
      <c r="D35" s="80"/>
      <c r="E35" s="28"/>
      <c r="F35" s="79"/>
      <c r="G35" s="80"/>
    </row>
    <row r="36" spans="2:7">
      <c r="B36" s="79"/>
      <c r="C36" s="80"/>
      <c r="D36" s="80"/>
      <c r="E36" s="28"/>
      <c r="F36" s="79"/>
      <c r="G36" s="80"/>
    </row>
    <row r="37" spans="2:7">
      <c r="B37" s="82"/>
      <c r="C37" s="80"/>
      <c r="D37" s="80"/>
      <c r="E37" s="28"/>
      <c r="F37" s="79"/>
      <c r="G37" s="80"/>
    </row>
    <row r="38" spans="2:7">
      <c r="B38" s="82"/>
      <c r="C38" s="80"/>
      <c r="D38" s="80"/>
      <c r="E38" s="84"/>
      <c r="F38" s="79"/>
      <c r="G38" s="80"/>
    </row>
    <row r="39" spans="2:7">
      <c r="B39" s="82"/>
      <c r="C39" s="83"/>
      <c r="D39" s="80"/>
      <c r="E39" s="28"/>
      <c r="F39" s="79"/>
      <c r="G39" s="80"/>
    </row>
    <row r="40" spans="2:7">
      <c r="B40" s="82"/>
      <c r="C40" s="80"/>
      <c r="D40" s="80"/>
      <c r="E40" s="28"/>
      <c r="F40" s="79"/>
      <c r="G40" s="80"/>
    </row>
    <row r="41" spans="2:7">
      <c r="B41" s="82"/>
      <c r="C41" s="83"/>
      <c r="D41" s="80"/>
      <c r="E41" s="28"/>
      <c r="F41" s="79"/>
      <c r="G41" s="80"/>
    </row>
    <row r="42" spans="2:7">
      <c r="B42" s="82"/>
      <c r="C42" s="80"/>
      <c r="D42" s="80"/>
      <c r="E42" s="28"/>
      <c r="F42" s="79"/>
      <c r="G42" s="80"/>
    </row>
    <row r="43" spans="2:7">
      <c r="B43" s="82"/>
      <c r="C43" s="85"/>
      <c r="D43" s="80"/>
      <c r="E43" s="28"/>
      <c r="F43" s="79"/>
      <c r="G43" s="80"/>
    </row>
    <row r="44" spans="2:7">
      <c r="B44" s="82"/>
      <c r="C44" s="85"/>
      <c r="D44" s="80"/>
      <c r="E44" s="28"/>
      <c r="F44" s="79"/>
      <c r="G44" s="80"/>
    </row>
    <row r="45" spans="2:7">
      <c r="B45" s="86"/>
      <c r="C45" s="87"/>
      <c r="D45" s="80"/>
      <c r="E45" s="28"/>
      <c r="F45" s="79"/>
      <c r="G45" s="80"/>
    </row>
    <row r="46" spans="2:7">
      <c r="B46" s="82"/>
      <c r="C46" s="80"/>
      <c r="D46" s="80"/>
      <c r="E46" s="28"/>
      <c r="F46" s="79"/>
      <c r="G46" s="80"/>
    </row>
    <row r="47" spans="2:7">
      <c r="B47" s="82"/>
      <c r="C47" s="80"/>
      <c r="D47" s="80"/>
      <c r="E47" s="28"/>
      <c r="F47" s="79"/>
      <c r="G47" s="80"/>
    </row>
    <row r="48" spans="2:7">
      <c r="B48" s="82"/>
      <c r="C48" s="80"/>
      <c r="D48" s="80"/>
      <c r="E48" s="28"/>
      <c r="F48" s="79"/>
      <c r="G48" s="80"/>
    </row>
    <row r="49" spans="2:7">
      <c r="B49" s="82"/>
      <c r="C49" s="80"/>
      <c r="D49" s="80"/>
      <c r="E49" s="28"/>
      <c r="F49" s="79"/>
      <c r="G49" s="80"/>
    </row>
    <row r="50" spans="2:7">
      <c r="B50" s="82"/>
      <c r="C50" s="80"/>
      <c r="D50" s="80"/>
      <c r="E50" s="28"/>
      <c r="F50" s="79"/>
      <c r="G50" s="80"/>
    </row>
    <row r="51" spans="2:7">
      <c r="B51" s="82"/>
      <c r="C51" s="80"/>
      <c r="D51" s="80"/>
      <c r="E51" s="28"/>
      <c r="F51" s="79"/>
      <c r="G51" s="80"/>
    </row>
    <row r="52" spans="2:7">
      <c r="B52" s="86"/>
      <c r="C52" s="87"/>
      <c r="D52" s="80"/>
      <c r="E52" s="28"/>
      <c r="F52" s="79"/>
      <c r="G52" s="80"/>
    </row>
    <row r="53" spans="2:7">
      <c r="B53" s="82"/>
      <c r="C53" s="80"/>
      <c r="D53" s="80"/>
      <c r="E53" s="84"/>
      <c r="F53" s="79"/>
      <c r="G53" s="80"/>
    </row>
    <row r="54" spans="2:7">
      <c r="B54" s="82"/>
      <c r="C54" s="80"/>
      <c r="D54" s="80"/>
      <c r="E54" s="28"/>
      <c r="F54" s="79"/>
      <c r="G54" s="80"/>
    </row>
    <row r="55" spans="2:7">
      <c r="B55" s="79"/>
      <c r="C55" s="83"/>
      <c r="D55" s="80"/>
      <c r="E55" s="28"/>
      <c r="F55" s="79"/>
      <c r="G55" s="80"/>
    </row>
    <row r="56" spans="2:7">
      <c r="B56" s="82"/>
      <c r="C56" s="80"/>
      <c r="D56" s="80"/>
      <c r="E56" s="28"/>
      <c r="F56" s="79"/>
      <c r="G56" s="80"/>
    </row>
    <row r="57" spans="2:7">
      <c r="B57" s="82"/>
      <c r="C57" s="80"/>
      <c r="D57" s="80"/>
      <c r="E57" s="28"/>
      <c r="F57" s="79"/>
      <c r="G57" s="80"/>
    </row>
    <row r="58" spans="2:7">
      <c r="B58" s="79"/>
      <c r="C58" s="83"/>
      <c r="D58" s="80"/>
      <c r="E58" s="28"/>
      <c r="F58" s="79"/>
      <c r="G58" s="80"/>
    </row>
    <row r="59" spans="2:7">
      <c r="B59" s="79"/>
      <c r="C59" s="80"/>
      <c r="D59" s="80"/>
      <c r="E59" s="28"/>
      <c r="F59" s="79"/>
      <c r="G59" s="80"/>
    </row>
    <row r="60" spans="2:7">
      <c r="B60" s="79"/>
      <c r="C60" s="80"/>
      <c r="D60" s="80"/>
      <c r="E60" s="28"/>
      <c r="F60" s="79"/>
      <c r="G60" s="80"/>
    </row>
    <row r="61" spans="2:7">
      <c r="B61" s="79"/>
      <c r="C61" s="80"/>
      <c r="D61" s="80"/>
      <c r="E61" s="28"/>
      <c r="F61" s="79"/>
      <c r="G61" s="80"/>
    </row>
    <row r="62" spans="2:7">
      <c r="B62" s="79"/>
      <c r="C62" s="80"/>
      <c r="D62" s="80"/>
      <c r="E62" s="28"/>
      <c r="F62" s="79"/>
      <c r="G62" s="80"/>
    </row>
    <row r="63" spans="2:7">
      <c r="B63" s="79"/>
      <c r="C63" s="80"/>
      <c r="D63" s="80"/>
      <c r="E63" s="28"/>
      <c r="F63" s="79"/>
      <c r="G63" s="80"/>
    </row>
    <row r="64" spans="2:7">
      <c r="B64" s="79"/>
      <c r="C64" s="80"/>
      <c r="D64" s="80"/>
      <c r="E64" s="28"/>
      <c r="F64" s="79"/>
      <c r="G64" s="80"/>
    </row>
    <row r="65" spans="2:7">
      <c r="B65" s="79"/>
      <c r="C65" s="80"/>
      <c r="D65" s="80"/>
      <c r="E65" s="28"/>
      <c r="F65" s="79"/>
      <c r="G65" s="80"/>
    </row>
    <row r="66" spans="2:7">
      <c r="B66" s="79"/>
      <c r="C66" s="80"/>
      <c r="D66" s="80"/>
      <c r="E66" s="28"/>
      <c r="F66" s="79"/>
      <c r="G66" s="80"/>
    </row>
    <row r="67" spans="2:7">
      <c r="B67" s="79"/>
      <c r="C67" s="80"/>
      <c r="D67" s="80"/>
      <c r="E67" s="28"/>
      <c r="F67" s="79"/>
      <c r="G67" s="80"/>
    </row>
    <row r="68" spans="2:7">
      <c r="B68" s="79"/>
      <c r="C68" s="80"/>
      <c r="D68" s="80"/>
      <c r="E68" s="28"/>
      <c r="F68" s="79"/>
      <c r="G68" s="80"/>
    </row>
    <row r="69" spans="2:7">
      <c r="B69" s="79"/>
      <c r="C69" s="80"/>
      <c r="D69" s="80"/>
      <c r="E69" s="28"/>
      <c r="F69" s="79"/>
      <c r="G69" s="80"/>
    </row>
    <row r="70" spans="2:7">
      <c r="B70" s="79"/>
      <c r="C70" s="80"/>
      <c r="D70" s="80"/>
      <c r="E70" s="28"/>
      <c r="F70" s="79"/>
      <c r="G70" s="80"/>
    </row>
    <row r="71" spans="2:7">
      <c r="B71" s="79"/>
      <c r="C71" s="80"/>
      <c r="D71" s="80"/>
      <c r="E71" s="28"/>
      <c r="F71" s="79"/>
      <c r="G71" s="80"/>
    </row>
    <row r="72" spans="2:7">
      <c r="B72" s="79"/>
      <c r="C72" s="80"/>
      <c r="D72" s="80"/>
      <c r="E72" s="28"/>
      <c r="F72" s="79"/>
      <c r="G72" s="80"/>
    </row>
    <row r="73" spans="2:7">
      <c r="B73" s="79"/>
      <c r="C73" s="80"/>
      <c r="D73" s="80"/>
      <c r="E73" s="28"/>
      <c r="F73" s="79"/>
      <c r="G73" s="80"/>
    </row>
    <row r="74" spans="2:7">
      <c r="B74" s="79"/>
      <c r="C74" s="80"/>
      <c r="D74" s="80"/>
      <c r="E74" s="28"/>
      <c r="F74" s="79"/>
      <c r="G74" s="80"/>
    </row>
    <row r="75" spans="2:7">
      <c r="B75" s="79"/>
      <c r="C75" s="80"/>
      <c r="D75" s="80"/>
      <c r="E75" s="28"/>
      <c r="F75" s="79"/>
      <c r="G75" s="80"/>
    </row>
    <row r="76" spans="2:7">
      <c r="B76" s="79"/>
      <c r="C76" s="80"/>
      <c r="D76" s="80"/>
      <c r="E76" s="28"/>
      <c r="F76" s="79"/>
      <c r="G76" s="80"/>
    </row>
    <row r="77" spans="2:7">
      <c r="B77" s="79"/>
      <c r="C77" s="80"/>
      <c r="D77" s="80"/>
      <c r="E77" s="28"/>
      <c r="F77" s="79"/>
      <c r="G77" s="80"/>
    </row>
    <row r="78" spans="2:7">
      <c r="B78" s="79"/>
      <c r="C78" s="80"/>
      <c r="D78" s="80"/>
      <c r="E78" s="28"/>
      <c r="F78" s="79"/>
      <c r="G78" s="80"/>
    </row>
    <row r="79" spans="2:7">
      <c r="B79" s="79"/>
      <c r="C79" s="80"/>
      <c r="D79" s="80"/>
      <c r="E79" s="28"/>
      <c r="F79" s="79"/>
      <c r="G79" s="80"/>
    </row>
    <row r="80" spans="2:7">
      <c r="B80" s="79"/>
      <c r="C80" s="80"/>
      <c r="D80" s="80"/>
      <c r="E80" s="28"/>
      <c r="F80" s="79"/>
      <c r="G80" s="80"/>
    </row>
    <row r="81" spans="2:7">
      <c r="B81" s="79"/>
      <c r="C81" s="80"/>
      <c r="D81" s="80"/>
      <c r="E81" s="28"/>
      <c r="F81" s="79"/>
      <c r="G81" s="80"/>
    </row>
    <row r="82" spans="2:7">
      <c r="B82" s="79"/>
      <c r="C82" s="80"/>
      <c r="D82" s="80"/>
      <c r="E82" s="28"/>
      <c r="F82" s="79"/>
      <c r="G82" s="80"/>
    </row>
    <row r="83" spans="2:7">
      <c r="B83" s="79"/>
      <c r="C83" s="80"/>
      <c r="D83" s="80"/>
      <c r="E83" s="28"/>
      <c r="F83" s="79"/>
      <c r="G83" s="80"/>
    </row>
    <row r="84" spans="2:7">
      <c r="B84" s="79"/>
      <c r="C84" s="80"/>
      <c r="D84" s="80"/>
      <c r="E84" s="28"/>
      <c r="F84" s="79"/>
      <c r="G84" s="80"/>
    </row>
    <row r="85" spans="2:7">
      <c r="B85" s="79"/>
      <c r="C85" s="80"/>
      <c r="D85" s="80"/>
      <c r="E85" s="28"/>
      <c r="F85" s="79"/>
      <c r="G85" s="80"/>
    </row>
    <row r="86" spans="2:7">
      <c r="B86" s="79"/>
      <c r="C86" s="80"/>
      <c r="D86" s="80"/>
      <c r="E86" s="28"/>
      <c r="F86" s="79"/>
      <c r="G86" s="80"/>
    </row>
    <row r="87" spans="2:7">
      <c r="B87" s="79"/>
      <c r="C87" s="80"/>
      <c r="D87" s="80"/>
      <c r="E87" s="28"/>
      <c r="F87" s="79"/>
      <c r="G87" s="80"/>
    </row>
    <row r="88" spans="2:7">
      <c r="B88" s="79"/>
      <c r="C88" s="80"/>
      <c r="D88" s="80"/>
      <c r="E88" s="28"/>
      <c r="F88" s="79"/>
      <c r="G88" s="80"/>
    </row>
    <row r="89" spans="2:7">
      <c r="B89" s="79"/>
      <c r="C89" s="80"/>
      <c r="D89" s="80"/>
      <c r="E89" s="28"/>
      <c r="F89" s="79"/>
      <c r="G89" s="80"/>
    </row>
    <row r="90" spans="2:7">
      <c r="B90" s="79"/>
      <c r="C90" s="80"/>
      <c r="D90" s="80"/>
      <c r="E90" s="28"/>
      <c r="F90" s="79"/>
      <c r="G90" s="80"/>
    </row>
    <row r="91" spans="2:7">
      <c r="B91" s="79"/>
      <c r="C91" s="80"/>
      <c r="D91" s="80"/>
      <c r="E91" s="28"/>
      <c r="F91" s="79"/>
      <c r="G91" s="80"/>
    </row>
    <row r="92" spans="2:7">
      <c r="B92" s="79"/>
      <c r="C92" s="80"/>
      <c r="D92" s="80"/>
      <c r="E92" s="28"/>
      <c r="F92" s="79"/>
      <c r="G92" s="80"/>
    </row>
    <row r="93" spans="2:7">
      <c r="B93" s="79"/>
      <c r="C93" s="80"/>
      <c r="D93" s="80"/>
      <c r="E93" s="28"/>
      <c r="F93" s="79"/>
      <c r="G93" s="80"/>
    </row>
    <row r="94" spans="2:7">
      <c r="B94" s="79"/>
      <c r="C94" s="80"/>
      <c r="D94" s="80"/>
      <c r="E94" s="28"/>
      <c r="F94" s="79"/>
      <c r="G94" s="80"/>
    </row>
    <row r="95" spans="2:7">
      <c r="B95" s="79"/>
      <c r="C95" s="80"/>
      <c r="D95" s="80"/>
      <c r="E95" s="28"/>
      <c r="F95" s="79"/>
      <c r="G95" s="80"/>
    </row>
    <row r="96" spans="2:7">
      <c r="B96" s="79"/>
      <c r="C96" s="80"/>
      <c r="D96" s="80"/>
      <c r="E96" s="28"/>
      <c r="F96" s="79"/>
      <c r="G96" s="80"/>
    </row>
    <row r="97" spans="2:7">
      <c r="B97" s="79"/>
      <c r="C97" s="80"/>
      <c r="D97" s="80"/>
      <c r="E97" s="28"/>
      <c r="F97" s="79"/>
      <c r="G97" s="80"/>
    </row>
    <row r="98" spans="2:7">
      <c r="B98" s="79"/>
      <c r="C98" s="80"/>
      <c r="D98" s="80"/>
      <c r="E98" s="28"/>
      <c r="F98" s="79"/>
      <c r="G98" s="80"/>
    </row>
    <row r="99" spans="2:7">
      <c r="B99" s="79"/>
      <c r="C99" s="80"/>
      <c r="D99" s="80"/>
      <c r="E99" s="28"/>
      <c r="F99" s="79"/>
      <c r="G99" s="80"/>
    </row>
    <row r="100" spans="2:7">
      <c r="B100" s="79"/>
      <c r="C100" s="80"/>
      <c r="D100" s="80"/>
      <c r="E100" s="28"/>
      <c r="F100" s="79"/>
      <c r="G100" s="80"/>
    </row>
    <row r="101" spans="2:7">
      <c r="B101" s="79"/>
      <c r="C101" s="80"/>
      <c r="D101" s="80"/>
      <c r="E101" s="28"/>
      <c r="F101" s="79"/>
      <c r="G101" s="80"/>
    </row>
    <row r="102" spans="2:7">
      <c r="B102" s="79"/>
      <c r="C102" s="80"/>
      <c r="D102" s="80"/>
      <c r="E102" s="28"/>
      <c r="F102" s="79"/>
      <c r="G102" s="80"/>
    </row>
    <row r="103" spans="2:7">
      <c r="B103" s="79"/>
      <c r="C103" s="80"/>
      <c r="D103" s="80"/>
      <c r="E103" s="28"/>
      <c r="F103" s="79"/>
      <c r="G103" s="80"/>
    </row>
    <row r="104" spans="2:7">
      <c r="B104" s="79"/>
      <c r="C104" s="80"/>
      <c r="D104" s="80"/>
      <c r="E104" s="28"/>
      <c r="F104" s="79"/>
      <c r="G104" s="80"/>
    </row>
    <row r="105" spans="2:7">
      <c r="B105" s="79"/>
      <c r="C105" s="80"/>
      <c r="D105" s="80"/>
      <c r="E105" s="28"/>
      <c r="F105" s="79"/>
      <c r="G105" s="80"/>
    </row>
    <row r="106" spans="2:7">
      <c r="B106" s="79"/>
      <c r="C106" s="80"/>
      <c r="D106" s="80"/>
      <c r="E106" s="28"/>
      <c r="F106" s="79"/>
      <c r="G106" s="80"/>
    </row>
    <row r="107" spans="2:7">
      <c r="B107" s="79"/>
      <c r="C107" s="80"/>
      <c r="D107" s="80"/>
      <c r="E107" s="28"/>
      <c r="F107" s="79"/>
      <c r="G107" s="80"/>
    </row>
    <row r="108" spans="2:7">
      <c r="B108" s="79"/>
      <c r="C108" s="80"/>
      <c r="D108" s="80"/>
      <c r="E108" s="28"/>
      <c r="F108" s="79"/>
      <c r="G108" s="80"/>
    </row>
    <row r="109" spans="2:7">
      <c r="B109" s="79"/>
      <c r="C109" s="80"/>
      <c r="D109" s="80"/>
      <c r="E109" s="28"/>
      <c r="F109" s="79"/>
      <c r="G109" s="80"/>
    </row>
    <row r="110" spans="2:7">
      <c r="B110" s="79"/>
      <c r="C110" s="80"/>
      <c r="D110" s="80"/>
      <c r="E110" s="28"/>
      <c r="F110" s="79"/>
      <c r="G110" s="80"/>
    </row>
    <row r="111" spans="2:7">
      <c r="B111" s="79"/>
      <c r="C111" s="80"/>
      <c r="D111" s="80"/>
      <c r="E111" s="28"/>
      <c r="F111" s="79"/>
      <c r="G111" s="80"/>
    </row>
    <row r="112" spans="2:7">
      <c r="B112" s="79"/>
      <c r="C112" s="80"/>
      <c r="D112" s="80"/>
      <c r="E112" s="28"/>
      <c r="F112" s="79"/>
      <c r="G112" s="80"/>
    </row>
    <row r="113" spans="2:7">
      <c r="B113" s="79"/>
      <c r="C113" s="80"/>
      <c r="D113" s="80"/>
      <c r="E113" s="28"/>
      <c r="F113" s="79"/>
      <c r="G113" s="80"/>
    </row>
    <row r="114" spans="2:7">
      <c r="B114" s="79"/>
      <c r="C114" s="80"/>
      <c r="D114" s="80"/>
      <c r="E114" s="28"/>
      <c r="F114" s="79"/>
      <c r="G114" s="80"/>
    </row>
    <row r="115" spans="2:7">
      <c r="B115" s="79"/>
      <c r="C115" s="80"/>
      <c r="D115" s="80"/>
      <c r="E115" s="28"/>
      <c r="F115" s="79"/>
      <c r="G115" s="80"/>
    </row>
    <row r="116" spans="2:7">
      <c r="B116" s="79"/>
      <c r="C116" s="80"/>
      <c r="D116" s="80"/>
      <c r="E116" s="28"/>
      <c r="F116" s="79"/>
      <c r="G116" s="80"/>
    </row>
    <row r="117" spans="2:7">
      <c r="B117" s="79"/>
      <c r="C117" s="80"/>
      <c r="D117" s="80"/>
      <c r="E117" s="28"/>
      <c r="F117" s="79"/>
      <c r="G117" s="80"/>
    </row>
    <row r="118" spans="2:7">
      <c r="B118" s="79"/>
      <c r="C118" s="80"/>
      <c r="D118" s="80"/>
      <c r="E118" s="28"/>
      <c r="F118" s="79"/>
      <c r="G118" s="80"/>
    </row>
    <row r="119" spans="2:7">
      <c r="B119" s="79"/>
      <c r="C119" s="80"/>
      <c r="D119" s="80"/>
      <c r="E119" s="28"/>
      <c r="F119" s="79"/>
      <c r="G119" s="80"/>
    </row>
    <row r="120" spans="2:7">
      <c r="B120" s="79"/>
      <c r="C120" s="80"/>
      <c r="D120" s="80"/>
      <c r="E120" s="28"/>
      <c r="F120" s="79"/>
      <c r="G120" s="80"/>
    </row>
    <row r="121" spans="2:7">
      <c r="B121" s="79"/>
      <c r="C121" s="80"/>
      <c r="D121" s="80"/>
      <c r="E121" s="28"/>
      <c r="F121" s="79"/>
      <c r="G121" s="80"/>
    </row>
    <row r="122" spans="2:7">
      <c r="B122" s="79"/>
      <c r="C122" s="80"/>
      <c r="D122" s="80"/>
      <c r="E122" s="28"/>
      <c r="F122" s="79"/>
      <c r="G122" s="80"/>
    </row>
    <row r="123" spans="2:7">
      <c r="B123" s="79"/>
      <c r="C123" s="80"/>
      <c r="D123" s="80"/>
      <c r="E123" s="28"/>
      <c r="F123" s="79"/>
      <c r="G123" s="80"/>
    </row>
    <row r="124" spans="2:7">
      <c r="B124" s="79"/>
      <c r="C124" s="80"/>
      <c r="D124" s="80"/>
      <c r="E124" s="28"/>
      <c r="F124" s="79"/>
      <c r="G124" s="80"/>
    </row>
    <row r="125" spans="2:7">
      <c r="B125" s="79"/>
      <c r="C125" s="80"/>
      <c r="D125" s="80"/>
      <c r="E125" s="28"/>
      <c r="F125" s="79"/>
      <c r="G125" s="80"/>
    </row>
    <row r="126" spans="2:7">
      <c r="B126" s="79"/>
      <c r="C126" s="80"/>
      <c r="D126" s="80"/>
      <c r="E126" s="28"/>
      <c r="F126" s="79"/>
      <c r="G126" s="80"/>
    </row>
    <row r="127" spans="2:7">
      <c r="B127" s="79"/>
      <c r="C127" s="80"/>
      <c r="D127" s="80"/>
      <c r="E127" s="28"/>
      <c r="F127" s="79"/>
      <c r="G127" s="80"/>
    </row>
    <row r="128" spans="2:7">
      <c r="B128" s="79"/>
      <c r="C128" s="80"/>
      <c r="D128" s="80"/>
      <c r="E128" s="28"/>
      <c r="F128" s="79"/>
      <c r="G128" s="80"/>
    </row>
    <row r="129" spans="2:7">
      <c r="B129" s="79"/>
      <c r="C129" s="80"/>
      <c r="D129" s="80"/>
      <c r="E129" s="28"/>
      <c r="F129" s="79"/>
      <c r="G129" s="80"/>
    </row>
    <row r="130" spans="2:7">
      <c r="B130" s="79"/>
      <c r="C130" s="80"/>
      <c r="D130" s="80"/>
      <c r="E130" s="28"/>
      <c r="F130" s="79"/>
      <c r="G130" s="80"/>
    </row>
    <row r="131" spans="2:7">
      <c r="B131" s="79"/>
      <c r="C131" s="80"/>
      <c r="D131" s="80"/>
      <c r="E131" s="28"/>
      <c r="F131" s="79"/>
      <c r="G131" s="80"/>
    </row>
    <row r="132" spans="2:7">
      <c r="B132" s="79"/>
      <c r="C132" s="80"/>
      <c r="D132" s="80"/>
      <c r="E132" s="28"/>
      <c r="F132" s="79"/>
      <c r="G132" s="80"/>
    </row>
    <row r="133" spans="2:7">
      <c r="B133" s="79"/>
      <c r="C133" s="80"/>
      <c r="D133" s="80"/>
      <c r="E133" s="28"/>
      <c r="F133" s="79"/>
      <c r="G133" s="80"/>
    </row>
    <row r="134" spans="2:7">
      <c r="B134" s="79"/>
      <c r="C134" s="80"/>
      <c r="D134" s="80"/>
      <c r="E134" s="28"/>
      <c r="F134" s="79"/>
      <c r="G134" s="80"/>
    </row>
    <row r="135" spans="2:7">
      <c r="B135" s="79"/>
      <c r="C135" s="80"/>
      <c r="D135" s="80"/>
      <c r="E135" s="28"/>
      <c r="F135" s="79"/>
      <c r="G135" s="80"/>
    </row>
    <row r="136" spans="2:7">
      <c r="B136" s="79"/>
      <c r="C136" s="80"/>
      <c r="D136" s="80"/>
      <c r="E136" s="28"/>
      <c r="F136" s="79"/>
      <c r="G136" s="80"/>
    </row>
    <row r="137" spans="2:7">
      <c r="B137" s="79"/>
      <c r="C137" s="80"/>
      <c r="D137" s="80"/>
      <c r="E137" s="28"/>
      <c r="F137" s="79"/>
      <c r="G137" s="80"/>
    </row>
    <row r="138" spans="2:7">
      <c r="B138" s="79"/>
      <c r="C138" s="80"/>
      <c r="D138" s="80"/>
      <c r="E138" s="28"/>
      <c r="F138" s="79"/>
      <c r="G138" s="80"/>
    </row>
    <row r="139" spans="2:7">
      <c r="B139" s="79"/>
      <c r="C139" s="80"/>
      <c r="D139" s="80"/>
      <c r="E139" s="28"/>
      <c r="F139" s="79"/>
      <c r="G139" s="80"/>
    </row>
    <row r="140" spans="2:7">
      <c r="B140" s="79"/>
      <c r="C140" s="80"/>
      <c r="D140" s="80"/>
      <c r="E140" s="28"/>
      <c r="F140" s="79"/>
      <c r="G140" s="80"/>
    </row>
    <row r="141" spans="2:7">
      <c r="B141" s="79"/>
      <c r="C141" s="80"/>
      <c r="D141" s="80"/>
      <c r="E141" s="28"/>
      <c r="F141" s="79"/>
      <c r="G141" s="80"/>
    </row>
    <row r="142" spans="2:7">
      <c r="B142" s="79"/>
      <c r="C142" s="80"/>
      <c r="D142" s="80"/>
      <c r="E142" s="28"/>
      <c r="F142" s="79"/>
      <c r="G142" s="80"/>
    </row>
    <row r="143" spans="2:7">
      <c r="B143" s="79"/>
      <c r="C143" s="80"/>
      <c r="D143" s="80"/>
      <c r="E143" s="28"/>
      <c r="F143" s="79"/>
      <c r="G143" s="80"/>
    </row>
    <row r="144" spans="2:7">
      <c r="B144" s="79"/>
      <c r="C144" s="80"/>
      <c r="D144" s="80"/>
      <c r="E144" s="28"/>
      <c r="F144" s="79"/>
      <c r="G144" s="80"/>
    </row>
    <row r="145" spans="2:7">
      <c r="B145" s="79"/>
      <c r="C145" s="80"/>
      <c r="D145" s="80"/>
      <c r="E145" s="28"/>
      <c r="F145" s="79"/>
      <c r="G145" s="80"/>
    </row>
    <row r="146" spans="2:7">
      <c r="B146" s="79"/>
      <c r="C146" s="80"/>
      <c r="D146" s="80"/>
      <c r="E146" s="28"/>
      <c r="F146" s="79"/>
      <c r="G146" s="80"/>
    </row>
    <row r="147" spans="2:7">
      <c r="B147" s="79"/>
      <c r="C147" s="80"/>
      <c r="D147" s="80"/>
      <c r="E147" s="28"/>
      <c r="F147" s="79"/>
      <c r="G147" s="80"/>
    </row>
    <row r="148" spans="2:7">
      <c r="B148" s="79"/>
      <c r="C148" s="80"/>
      <c r="D148" s="80"/>
      <c r="E148" s="28"/>
      <c r="F148" s="79"/>
      <c r="G148" s="80"/>
    </row>
    <row r="149" spans="2:7">
      <c r="B149" s="79"/>
      <c r="C149" s="80"/>
      <c r="D149" s="80"/>
      <c r="E149" s="28"/>
      <c r="F149" s="79"/>
      <c r="G149" s="80"/>
    </row>
    <row r="150" spans="2:7">
      <c r="B150" s="79"/>
      <c r="C150" s="80"/>
      <c r="D150" s="80"/>
      <c r="E150" s="28"/>
      <c r="F150" s="79"/>
      <c r="G150" s="80"/>
    </row>
    <row r="151" spans="2:7">
      <c r="B151" s="79"/>
      <c r="C151" s="80"/>
      <c r="D151" s="80"/>
      <c r="E151" s="28"/>
      <c r="F151" s="79"/>
      <c r="G151" s="80"/>
    </row>
    <row r="152" spans="2:7">
      <c r="B152" s="79"/>
      <c r="C152" s="80"/>
      <c r="D152" s="80"/>
      <c r="E152" s="28"/>
      <c r="F152" s="79"/>
      <c r="G152" s="80"/>
    </row>
    <row r="153" spans="2:7">
      <c r="B153" s="79"/>
      <c r="C153" s="80"/>
      <c r="D153" s="80"/>
      <c r="E153" s="28"/>
      <c r="F153" s="79"/>
      <c r="G153" s="80"/>
    </row>
    <row r="154" spans="2:7">
      <c r="B154" s="79"/>
      <c r="C154" s="80"/>
      <c r="D154" s="80"/>
      <c r="E154" s="28"/>
      <c r="F154" s="79"/>
      <c r="G154" s="80"/>
    </row>
    <row r="155" spans="2:7">
      <c r="B155" s="79"/>
      <c r="C155" s="80"/>
      <c r="D155" s="80"/>
      <c r="E155" s="28"/>
      <c r="F155" s="79"/>
      <c r="G155" s="80"/>
    </row>
    <row r="156" spans="2:7">
      <c r="B156" s="79"/>
      <c r="C156" s="80"/>
      <c r="D156" s="80"/>
      <c r="E156" s="28"/>
      <c r="F156" s="79"/>
      <c r="G156" s="80"/>
    </row>
    <row r="157" spans="2:7">
      <c r="B157" s="79"/>
      <c r="C157" s="80"/>
      <c r="D157" s="80"/>
      <c r="E157" s="28"/>
      <c r="F157" s="79"/>
      <c r="G157" s="80"/>
    </row>
    <row r="158" spans="2:7">
      <c r="B158" s="79"/>
      <c r="C158" s="80"/>
      <c r="D158" s="80"/>
      <c r="E158" s="28"/>
      <c r="F158" s="79"/>
      <c r="G158" s="80"/>
    </row>
    <row r="159" spans="2:7">
      <c r="B159" s="79"/>
      <c r="C159" s="80"/>
      <c r="D159" s="80"/>
      <c r="E159" s="28"/>
      <c r="F159" s="79"/>
      <c r="G159" s="80"/>
    </row>
    <row r="160" spans="2:7">
      <c r="B160" s="79"/>
      <c r="C160" s="80"/>
      <c r="D160" s="80"/>
      <c r="E160" s="28"/>
      <c r="F160" s="79"/>
      <c r="G160" s="80"/>
    </row>
    <row r="161" spans="2:7">
      <c r="B161" s="79"/>
      <c r="C161" s="80"/>
      <c r="D161" s="80"/>
      <c r="E161" s="28"/>
      <c r="F161" s="79"/>
      <c r="G161" s="80"/>
    </row>
    <row r="162" spans="2:7">
      <c r="B162" s="79"/>
      <c r="C162" s="80"/>
      <c r="D162" s="80"/>
      <c r="E162" s="28"/>
      <c r="F162" s="79"/>
      <c r="G162" s="80"/>
    </row>
    <row r="163" spans="2:7">
      <c r="B163" s="79"/>
      <c r="C163" s="80"/>
      <c r="D163" s="80"/>
      <c r="E163" s="28"/>
      <c r="F163" s="79"/>
      <c r="G163" s="80"/>
    </row>
    <row r="164" spans="2:7">
      <c r="B164" s="79"/>
      <c r="C164" s="80"/>
      <c r="D164" s="80"/>
      <c r="E164" s="28"/>
      <c r="F164" s="79"/>
      <c r="G164" s="80"/>
    </row>
    <row r="165" spans="2:7">
      <c r="B165" s="79"/>
      <c r="C165" s="80"/>
      <c r="D165" s="80"/>
      <c r="E165" s="28"/>
      <c r="F165" s="79"/>
      <c r="G165" s="80"/>
    </row>
    <row r="166" spans="2:7">
      <c r="B166" s="79"/>
      <c r="C166" s="80"/>
      <c r="D166" s="80"/>
      <c r="E166" s="28"/>
      <c r="F166" s="79"/>
      <c r="G166" s="80"/>
    </row>
    <row r="167" spans="2:7">
      <c r="B167" s="79"/>
      <c r="C167" s="80"/>
      <c r="D167" s="80"/>
      <c r="E167" s="28"/>
      <c r="F167" s="79"/>
      <c r="G167" s="80"/>
    </row>
    <row r="168" spans="2:7">
      <c r="B168" s="79"/>
      <c r="C168" s="80"/>
      <c r="D168" s="80"/>
      <c r="E168" s="28"/>
      <c r="F168" s="79"/>
      <c r="G168" s="80"/>
    </row>
    <row r="169" spans="2:7">
      <c r="B169" s="79"/>
      <c r="C169" s="80"/>
      <c r="D169" s="80"/>
      <c r="E169" s="28"/>
      <c r="F169" s="79"/>
      <c r="G169" s="80"/>
    </row>
    <row r="170" spans="2:7">
      <c r="B170" s="79"/>
      <c r="C170" s="80"/>
      <c r="D170" s="80"/>
      <c r="E170" s="28"/>
      <c r="F170" s="79"/>
      <c r="G170" s="80"/>
    </row>
    <row r="171" spans="2:7">
      <c r="B171" s="79"/>
      <c r="C171" s="80"/>
      <c r="D171" s="80"/>
      <c r="E171" s="28"/>
      <c r="F171" s="79"/>
      <c r="G171" s="80"/>
    </row>
    <row r="172" spans="2:7">
      <c r="B172" s="79"/>
      <c r="C172" s="80"/>
      <c r="D172" s="80"/>
      <c r="E172" s="28"/>
      <c r="F172" s="79"/>
      <c r="G172" s="80"/>
    </row>
    <row r="173" spans="2:7">
      <c r="B173" s="79"/>
      <c r="C173" s="80"/>
      <c r="D173" s="80"/>
      <c r="E173" s="28"/>
      <c r="F173" s="79"/>
      <c r="G173" s="80"/>
    </row>
    <row r="174" spans="2:7">
      <c r="B174" s="79"/>
      <c r="C174" s="80"/>
      <c r="D174" s="80"/>
      <c r="E174" s="28"/>
      <c r="F174" s="79"/>
      <c r="G174" s="80"/>
    </row>
    <row r="175" spans="2:7">
      <c r="B175" s="79"/>
      <c r="C175" s="80"/>
      <c r="D175" s="80"/>
      <c r="E175" s="28"/>
      <c r="F175" s="79"/>
      <c r="G175" s="80"/>
    </row>
    <row r="176" spans="2:7">
      <c r="B176" s="79"/>
      <c r="C176" s="80"/>
      <c r="D176" s="80"/>
      <c r="E176" s="28"/>
      <c r="F176" s="79"/>
      <c r="G176" s="80"/>
    </row>
    <row r="177" spans="2:7">
      <c r="B177" s="79"/>
      <c r="C177" s="80"/>
      <c r="D177" s="80"/>
      <c r="E177" s="28"/>
      <c r="F177" s="79"/>
      <c r="G177" s="80"/>
    </row>
    <row r="178" spans="2:7">
      <c r="B178" s="79"/>
      <c r="C178" s="80"/>
      <c r="D178" s="80"/>
      <c r="E178" s="28"/>
      <c r="F178" s="79"/>
      <c r="G178" s="80"/>
    </row>
    <row r="179" spans="2:7">
      <c r="B179" s="79"/>
      <c r="C179" s="80"/>
      <c r="D179" s="80"/>
      <c r="E179" s="28"/>
      <c r="F179" s="79"/>
      <c r="G179" s="80"/>
    </row>
    <row r="180" spans="2:7">
      <c r="B180" s="79"/>
      <c r="C180" s="80"/>
      <c r="D180" s="80"/>
      <c r="E180" s="28"/>
      <c r="F180" s="79"/>
      <c r="G180" s="80"/>
    </row>
  </sheetData>
  <mergeCells count="2">
    <mergeCell ref="B1:E1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2-Soil C</vt:lpstr>
      <vt:lpstr>Figure 3&amp;4-Soil C isotope</vt:lpstr>
      <vt:lpstr>Figure 5- CO2 concentrations</vt:lpstr>
      <vt:lpstr>CO2-C loss</vt:lpstr>
      <vt:lpstr>Figure 6-Leaching C</vt:lpstr>
      <vt:lpstr>Table 1-grass C</vt:lpstr>
      <vt:lpstr>Table 2-Total change</vt:lpstr>
      <vt:lpstr>Table S4</vt:lpstr>
      <vt:lpstr>Table S9-C from amendments</vt:lpstr>
      <vt:lpstr>Table S10-CO2 flux</vt:lpstr>
      <vt:lpstr>Average-FigureS1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2022-12-27T07:20:34Z</dcterms:modified>
</cp:coreProperties>
</file>