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bookViews>
    <workbookView xWindow="0" yWindow="0" windowWidth="18090" windowHeight="6300" activeTab="1"/>
  </bookViews>
  <sheets>
    <sheet name="raw data" sheetId="1" r:id="rId1"/>
    <sheet name="exocrine scores" sheetId="5" r:id="rId2"/>
    <sheet name="isolated islets raw data" sheetId="4" r:id="rId3"/>
    <sheet name="data by specimen" sheetId="2" r:id="rId4"/>
    <sheet name="donor table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S30" i="5" l="1"/>
  <c r="VR30" i="5"/>
  <c r="VP30" i="5"/>
  <c r="VJ30" i="5"/>
  <c r="VI30" i="5"/>
  <c r="VG30" i="5"/>
  <c r="VA30" i="5"/>
  <c r="UZ30" i="5"/>
  <c r="UX30" i="5"/>
  <c r="UR30" i="5"/>
  <c r="UQ30" i="5"/>
  <c r="UO30" i="5"/>
  <c r="UK30" i="5"/>
  <c r="UJ30" i="5"/>
  <c r="UH30" i="5"/>
  <c r="UB30" i="5"/>
  <c r="UA30" i="5"/>
  <c r="TY30" i="5"/>
  <c r="TU30" i="5"/>
  <c r="TT30" i="5"/>
  <c r="TR30" i="5"/>
  <c r="TL30" i="5"/>
  <c r="TK30" i="5"/>
  <c r="TI30" i="5"/>
  <c r="TC30" i="5"/>
  <c r="TB30" i="5"/>
  <c r="SZ30" i="5"/>
  <c r="ST30" i="5"/>
  <c r="SS30" i="5"/>
  <c r="SQ30" i="5"/>
  <c r="SK30" i="5"/>
  <c r="SJ30" i="5"/>
  <c r="SH30" i="5"/>
  <c r="SB30" i="5"/>
  <c r="SA30" i="5"/>
  <c r="RY30" i="5"/>
  <c r="RS30" i="5"/>
  <c r="RR30" i="5"/>
  <c r="RP30" i="5"/>
  <c r="RJ30" i="5"/>
  <c r="RI30" i="5"/>
  <c r="RG30" i="5"/>
  <c r="RA30" i="5"/>
  <c r="QZ30" i="5"/>
  <c r="QX30" i="5"/>
  <c r="QR30" i="5"/>
  <c r="QQ30" i="5"/>
  <c r="QO30" i="5"/>
  <c r="QI30" i="5"/>
  <c r="QH30" i="5"/>
  <c r="QF30" i="5"/>
  <c r="PZ30" i="5"/>
  <c r="PY30" i="5"/>
  <c r="PW30" i="5"/>
  <c r="PS30" i="5"/>
  <c r="PR30" i="5"/>
  <c r="PP30" i="5"/>
  <c r="PJ30" i="5"/>
  <c r="PI30" i="5"/>
  <c r="PG30" i="5"/>
  <c r="PA30" i="5"/>
  <c r="OZ30" i="5"/>
  <c r="OX30" i="5"/>
  <c r="OR30" i="5"/>
  <c r="OQ30" i="5"/>
  <c r="OO30" i="5"/>
  <c r="OI30" i="5"/>
  <c r="OH30" i="5"/>
  <c r="OF30" i="5"/>
  <c r="NZ30" i="5"/>
  <c r="NY30" i="5"/>
  <c r="NW30" i="5"/>
  <c r="NQ30" i="5"/>
  <c r="NP30" i="5"/>
  <c r="NN30" i="5"/>
  <c r="NH30" i="5"/>
  <c r="NG30" i="5"/>
  <c r="NE30" i="5"/>
  <c r="MY30" i="5"/>
  <c r="MX30" i="5"/>
  <c r="MV30" i="5"/>
  <c r="MP30" i="5"/>
  <c r="MO30" i="5"/>
  <c r="MM30" i="5"/>
  <c r="MG30" i="5"/>
  <c r="MF30" i="5"/>
  <c r="MD30" i="5"/>
  <c r="LX30" i="5"/>
  <c r="LW30" i="5"/>
  <c r="LU30" i="5"/>
  <c r="LO30" i="5"/>
  <c r="LN30" i="5"/>
  <c r="LL30" i="5"/>
  <c r="LE30" i="5"/>
  <c r="LD30" i="5"/>
  <c r="LB30" i="5"/>
  <c r="KV30" i="5"/>
  <c r="KU30" i="5"/>
  <c r="KS30" i="5"/>
  <c r="KM30" i="5"/>
  <c r="KL30" i="5"/>
  <c r="KJ30" i="5"/>
  <c r="KD30" i="5"/>
  <c r="KC30" i="5"/>
  <c r="KA30" i="5"/>
  <c r="JU30" i="5"/>
  <c r="JT30" i="5"/>
  <c r="JR30" i="5"/>
  <c r="JL30" i="5"/>
  <c r="JK30" i="5"/>
  <c r="JI30" i="5"/>
  <c r="JC30" i="5"/>
  <c r="JB30" i="5"/>
  <c r="IZ30" i="5"/>
  <c r="IT30" i="5"/>
  <c r="IS30" i="5"/>
  <c r="IQ30" i="5"/>
  <c r="IK30" i="5"/>
  <c r="IJ30" i="5"/>
  <c r="IH30" i="5"/>
  <c r="IB30" i="5"/>
  <c r="IA30" i="5"/>
  <c r="HY30" i="5"/>
  <c r="HS30" i="5"/>
  <c r="HR30" i="5"/>
  <c r="HP30" i="5"/>
  <c r="HJ30" i="5"/>
  <c r="HI30" i="5"/>
  <c r="HG30" i="5"/>
  <c r="HA30" i="5"/>
  <c r="GZ30" i="5"/>
  <c r="GX30" i="5"/>
  <c r="GR30" i="5"/>
  <c r="GQ30" i="5"/>
  <c r="GO30" i="5"/>
  <c r="GI30" i="5"/>
  <c r="GH30" i="5"/>
  <c r="GF30" i="5"/>
  <c r="FZ30" i="5"/>
  <c r="FY30" i="5"/>
  <c r="FW30" i="5"/>
  <c r="FQ30" i="5"/>
  <c r="FP30" i="5"/>
  <c r="FN30" i="5"/>
  <c r="FH30" i="5"/>
  <c r="FG30" i="5"/>
  <c r="FE30" i="5"/>
  <c r="EY30" i="5"/>
  <c r="EX30" i="5"/>
  <c r="EV30" i="5"/>
  <c r="EP30" i="5"/>
  <c r="EO30" i="5"/>
  <c r="EM30" i="5"/>
  <c r="EG30" i="5"/>
  <c r="EF30" i="5"/>
  <c r="ED30" i="5"/>
  <c r="DX30" i="5"/>
  <c r="DW30" i="5"/>
  <c r="DU30" i="5"/>
  <c r="DO30" i="5"/>
  <c r="DN30" i="5"/>
  <c r="DL30" i="5"/>
  <c r="DF30" i="5"/>
  <c r="DE30" i="5"/>
  <c r="DC30" i="5"/>
  <c r="CW30" i="5"/>
  <c r="CV30" i="5"/>
  <c r="CT30" i="5"/>
  <c r="CN30" i="5"/>
  <c r="CM30" i="5"/>
  <c r="CK30" i="5"/>
  <c r="CF30" i="5"/>
  <c r="CE30" i="5"/>
  <c r="CC30" i="5"/>
  <c r="BX30" i="5"/>
  <c r="BW30" i="5"/>
  <c r="BU30" i="5"/>
  <c r="BO30" i="5"/>
  <c r="BN30" i="5"/>
  <c r="BL30" i="5"/>
  <c r="BF30" i="5"/>
  <c r="BE30" i="5"/>
  <c r="BC30" i="5"/>
  <c r="AW30" i="5"/>
  <c r="AV30" i="5"/>
  <c r="AT30" i="5"/>
  <c r="AN30" i="5"/>
  <c r="AM30" i="5"/>
  <c r="AK30" i="5"/>
  <c r="AF30" i="5"/>
  <c r="AE30" i="5"/>
  <c r="AC30" i="5"/>
  <c r="X30" i="5"/>
  <c r="W30" i="5"/>
  <c r="U30" i="5"/>
  <c r="O30" i="5"/>
  <c r="N30" i="5"/>
  <c r="L30" i="5"/>
  <c r="F30" i="5"/>
  <c r="E30" i="5"/>
  <c r="C30" i="5"/>
  <c r="VS29" i="5"/>
  <c r="VR29" i="5"/>
  <c r="VP29" i="5"/>
  <c r="VJ29" i="5"/>
  <c r="VI29" i="5"/>
  <c r="VG29" i="5"/>
  <c r="VA29" i="5"/>
  <c r="UZ29" i="5"/>
  <c r="UX29" i="5"/>
  <c r="UR29" i="5"/>
  <c r="UQ29" i="5"/>
  <c r="UO29" i="5"/>
  <c r="UK29" i="5"/>
  <c r="UJ29" i="5"/>
  <c r="UH29" i="5"/>
  <c r="UB29" i="5"/>
  <c r="UA29" i="5"/>
  <c r="TY29" i="5"/>
  <c r="TU29" i="5"/>
  <c r="TT29" i="5"/>
  <c r="TR29" i="5"/>
  <c r="TL29" i="5"/>
  <c r="TK29" i="5"/>
  <c r="TI29" i="5"/>
  <c r="TC29" i="5"/>
  <c r="TB29" i="5"/>
  <c r="SZ29" i="5"/>
  <c r="ST29" i="5"/>
  <c r="SS29" i="5"/>
  <c r="SQ29" i="5"/>
  <c r="SK29" i="5"/>
  <c r="SJ29" i="5"/>
  <c r="SH29" i="5"/>
  <c r="SB29" i="5"/>
  <c r="SA29" i="5"/>
  <c r="RY29" i="5"/>
  <c r="RS29" i="5"/>
  <c r="RR29" i="5"/>
  <c r="RP29" i="5"/>
  <c r="RJ29" i="5"/>
  <c r="RI29" i="5"/>
  <c r="RG29" i="5"/>
  <c r="RA29" i="5"/>
  <c r="QZ29" i="5"/>
  <c r="QX29" i="5"/>
  <c r="QR29" i="5"/>
  <c r="QQ29" i="5"/>
  <c r="QO29" i="5"/>
  <c r="QI29" i="5"/>
  <c r="QH29" i="5"/>
  <c r="QF29" i="5"/>
  <c r="PZ29" i="5"/>
  <c r="PY29" i="5"/>
  <c r="PW29" i="5"/>
  <c r="PS29" i="5"/>
  <c r="PR29" i="5"/>
  <c r="PP29" i="5"/>
  <c r="PJ29" i="5"/>
  <c r="PI29" i="5"/>
  <c r="PG29" i="5"/>
  <c r="PA29" i="5"/>
  <c r="OZ29" i="5"/>
  <c r="OX29" i="5"/>
  <c r="OR29" i="5"/>
  <c r="OQ29" i="5"/>
  <c r="OO29" i="5"/>
  <c r="OI29" i="5"/>
  <c r="OH29" i="5"/>
  <c r="OF29" i="5"/>
  <c r="NZ29" i="5"/>
  <c r="NY29" i="5"/>
  <c r="NW29" i="5"/>
  <c r="NQ29" i="5"/>
  <c r="NP29" i="5"/>
  <c r="NN29" i="5"/>
  <c r="NH29" i="5"/>
  <c r="NG29" i="5"/>
  <c r="NE29" i="5"/>
  <c r="MY29" i="5"/>
  <c r="MX29" i="5"/>
  <c r="MV29" i="5"/>
  <c r="MP29" i="5"/>
  <c r="MO29" i="5"/>
  <c r="MM29" i="5"/>
  <c r="MG29" i="5"/>
  <c r="MF29" i="5"/>
  <c r="MD29" i="5"/>
  <c r="LX29" i="5"/>
  <c r="LW29" i="5"/>
  <c r="LU29" i="5"/>
  <c r="LO29" i="5"/>
  <c r="LN29" i="5"/>
  <c r="LL29" i="5"/>
  <c r="LE29" i="5"/>
  <c r="LD29" i="5"/>
  <c r="LB29" i="5"/>
  <c r="KV29" i="5"/>
  <c r="KU29" i="5"/>
  <c r="KS29" i="5"/>
  <c r="KM29" i="5"/>
  <c r="KL29" i="5"/>
  <c r="KJ29" i="5"/>
  <c r="KD29" i="5"/>
  <c r="KC29" i="5"/>
  <c r="KA29" i="5"/>
  <c r="JU29" i="5"/>
  <c r="JT29" i="5"/>
  <c r="JR29" i="5"/>
  <c r="JL29" i="5"/>
  <c r="JK29" i="5"/>
  <c r="JI29" i="5"/>
  <c r="JC29" i="5"/>
  <c r="JB29" i="5"/>
  <c r="IZ29" i="5"/>
  <c r="IT29" i="5"/>
  <c r="IS29" i="5"/>
  <c r="IQ29" i="5"/>
  <c r="IK29" i="5"/>
  <c r="IJ29" i="5"/>
  <c r="IH29" i="5"/>
  <c r="IB29" i="5"/>
  <c r="IA29" i="5"/>
  <c r="HY29" i="5"/>
  <c r="HS29" i="5"/>
  <c r="HR29" i="5"/>
  <c r="HP29" i="5"/>
  <c r="HJ29" i="5"/>
  <c r="HI29" i="5"/>
  <c r="HG29" i="5"/>
  <c r="HA29" i="5"/>
  <c r="GZ29" i="5"/>
  <c r="GX29" i="5"/>
  <c r="GR29" i="5"/>
  <c r="GQ29" i="5"/>
  <c r="GO29" i="5"/>
  <c r="GI29" i="5"/>
  <c r="GH29" i="5"/>
  <c r="GF29" i="5"/>
  <c r="FZ29" i="5"/>
  <c r="FY29" i="5"/>
  <c r="FW29" i="5"/>
  <c r="FQ29" i="5"/>
  <c r="FP29" i="5"/>
  <c r="FN29" i="5"/>
  <c r="FH29" i="5"/>
  <c r="FG29" i="5"/>
  <c r="FE29" i="5"/>
  <c r="EY29" i="5"/>
  <c r="EX29" i="5"/>
  <c r="EV29" i="5"/>
  <c r="EP29" i="5"/>
  <c r="EO29" i="5"/>
  <c r="EM29" i="5"/>
  <c r="EG29" i="5"/>
  <c r="EF29" i="5"/>
  <c r="ED29" i="5"/>
  <c r="DX29" i="5"/>
  <c r="DW29" i="5"/>
  <c r="DU29" i="5"/>
  <c r="DO29" i="5"/>
  <c r="DN29" i="5"/>
  <c r="DL29" i="5"/>
  <c r="DF29" i="5"/>
  <c r="DE29" i="5"/>
  <c r="DC29" i="5"/>
  <c r="CW29" i="5"/>
  <c r="CV29" i="5"/>
  <c r="CT29" i="5"/>
  <c r="CN29" i="5"/>
  <c r="CM29" i="5"/>
  <c r="CK29" i="5"/>
  <c r="CF29" i="5"/>
  <c r="CE29" i="5"/>
  <c r="CC29" i="5"/>
  <c r="BX29" i="5"/>
  <c r="BW29" i="5"/>
  <c r="BU29" i="5"/>
  <c r="BF29" i="5"/>
  <c r="BE29" i="5"/>
  <c r="BC29" i="5"/>
  <c r="AW29" i="5"/>
  <c r="AV29" i="5"/>
  <c r="AT29" i="5"/>
  <c r="AN29" i="5"/>
  <c r="AM29" i="5"/>
  <c r="AK29" i="5"/>
  <c r="AF29" i="5"/>
  <c r="AE29" i="5"/>
  <c r="AC29" i="5"/>
  <c r="X29" i="5"/>
  <c r="W29" i="5"/>
  <c r="U29" i="5"/>
  <c r="VU28" i="5"/>
  <c r="VV28" i="5" s="1"/>
  <c r="VQ28" i="5"/>
  <c r="VT28" i="5" s="1"/>
  <c r="VL28" i="5"/>
  <c r="VM28" i="5" s="1"/>
  <c r="VH28" i="5"/>
  <c r="VK28" i="5" s="1"/>
  <c r="VC28" i="5"/>
  <c r="VD28" i="5" s="1"/>
  <c r="UY28" i="5"/>
  <c r="VB28" i="5" s="1"/>
  <c r="UT28" i="5"/>
  <c r="UU28" i="5" s="1"/>
  <c r="UP28" i="5"/>
  <c r="US28" i="5" s="1"/>
  <c r="UI28" i="5"/>
  <c r="UL28" i="5" s="1"/>
  <c r="UD28" i="5"/>
  <c r="UE28" i="5" s="1"/>
  <c r="TZ28" i="5"/>
  <c r="UC28" i="5" s="1"/>
  <c r="TS28" i="5"/>
  <c r="TV28" i="5" s="1"/>
  <c r="TN28" i="5"/>
  <c r="TO28" i="5" s="1"/>
  <c r="TJ28" i="5"/>
  <c r="TM28" i="5" s="1"/>
  <c r="TE28" i="5"/>
  <c r="TF28" i="5" s="1"/>
  <c r="TA28" i="5"/>
  <c r="TD28" i="5" s="1"/>
  <c r="SV28" i="5"/>
  <c r="SW28" i="5" s="1"/>
  <c r="SR28" i="5"/>
  <c r="SU28" i="5" s="1"/>
  <c r="SM28" i="5"/>
  <c r="SN28" i="5" s="1"/>
  <c r="SI28" i="5"/>
  <c r="SL28" i="5" s="1"/>
  <c r="SD28" i="5"/>
  <c r="SE28" i="5" s="1"/>
  <c r="RZ28" i="5"/>
  <c r="SC28" i="5" s="1"/>
  <c r="RU28" i="5"/>
  <c r="RV28" i="5" s="1"/>
  <c r="RQ28" i="5"/>
  <c r="RT28" i="5" s="1"/>
  <c r="RL28" i="5"/>
  <c r="RM28" i="5" s="1"/>
  <c r="RH28" i="5"/>
  <c r="RK28" i="5" s="1"/>
  <c r="RC28" i="5"/>
  <c r="RD28" i="5" s="1"/>
  <c r="QY28" i="5"/>
  <c r="RB28" i="5" s="1"/>
  <c r="QT28" i="5"/>
  <c r="QU28" i="5" s="1"/>
  <c r="QP28" i="5"/>
  <c r="QS28" i="5" s="1"/>
  <c r="QK28" i="5"/>
  <c r="QL28" i="5" s="1"/>
  <c r="QG28" i="5"/>
  <c r="QJ28" i="5" s="1"/>
  <c r="QB28" i="5"/>
  <c r="QC28" i="5" s="1"/>
  <c r="PX28" i="5"/>
  <c r="QA28" i="5" s="1"/>
  <c r="PQ28" i="5"/>
  <c r="PT28" i="5" s="1"/>
  <c r="PL28" i="5"/>
  <c r="PM28" i="5" s="1"/>
  <c r="PH28" i="5"/>
  <c r="PK28" i="5" s="1"/>
  <c r="PC28" i="5"/>
  <c r="PD28" i="5" s="1"/>
  <c r="OY28" i="5"/>
  <c r="PB28" i="5" s="1"/>
  <c r="OT28" i="5"/>
  <c r="OU28" i="5" s="1"/>
  <c r="OP28" i="5"/>
  <c r="OS28" i="5" s="1"/>
  <c r="OK28" i="5"/>
  <c r="OL28" i="5" s="1"/>
  <c r="OG28" i="5"/>
  <c r="OJ28" i="5" s="1"/>
  <c r="OB28" i="5"/>
  <c r="OC28" i="5" s="1"/>
  <c r="NX28" i="5"/>
  <c r="OA28" i="5" s="1"/>
  <c r="NS28" i="5"/>
  <c r="NT28" i="5" s="1"/>
  <c r="NO28" i="5"/>
  <c r="NR28" i="5" s="1"/>
  <c r="NJ28" i="5"/>
  <c r="NK28" i="5" s="1"/>
  <c r="NF28" i="5"/>
  <c r="NI28" i="5" s="1"/>
  <c r="NA28" i="5"/>
  <c r="NB28" i="5" s="1"/>
  <c r="MW28" i="5"/>
  <c r="MZ28" i="5" s="1"/>
  <c r="MR28" i="5"/>
  <c r="MS28" i="5" s="1"/>
  <c r="MN28" i="5"/>
  <c r="MQ28" i="5" s="1"/>
  <c r="MI28" i="5"/>
  <c r="MJ28" i="5" s="1"/>
  <c r="ME28" i="5"/>
  <c r="MH28" i="5" s="1"/>
  <c r="LZ28" i="5"/>
  <c r="MA28" i="5" s="1"/>
  <c r="LV28" i="5"/>
  <c r="LY28" i="5" s="1"/>
  <c r="LQ28" i="5"/>
  <c r="LR28" i="5" s="1"/>
  <c r="LM28" i="5"/>
  <c r="LP28" i="5" s="1"/>
  <c r="LG28" i="5"/>
  <c r="LH28" i="5" s="1"/>
  <c r="LC28" i="5"/>
  <c r="LF28" i="5" s="1"/>
  <c r="KX28" i="5"/>
  <c r="KY28" i="5" s="1"/>
  <c r="KZ28" i="5" s="1"/>
  <c r="KT28" i="5"/>
  <c r="KW28" i="5" s="1"/>
  <c r="KO28" i="5"/>
  <c r="KP28" i="5" s="1"/>
  <c r="KK28" i="5"/>
  <c r="KN28" i="5" s="1"/>
  <c r="KF28" i="5"/>
  <c r="KG28" i="5" s="1"/>
  <c r="KB28" i="5"/>
  <c r="KE28" i="5" s="1"/>
  <c r="JW28" i="5"/>
  <c r="JX28" i="5" s="1"/>
  <c r="JS28" i="5"/>
  <c r="JV28" i="5" s="1"/>
  <c r="JN28" i="5"/>
  <c r="JO28" i="5" s="1"/>
  <c r="JJ28" i="5"/>
  <c r="JM28" i="5" s="1"/>
  <c r="JE28" i="5"/>
  <c r="JF28" i="5" s="1"/>
  <c r="JA28" i="5"/>
  <c r="JD28" i="5" s="1"/>
  <c r="IV28" i="5"/>
  <c r="IW28" i="5" s="1"/>
  <c r="IR28" i="5"/>
  <c r="IU28" i="5" s="1"/>
  <c r="IM28" i="5"/>
  <c r="IN28" i="5" s="1"/>
  <c r="II28" i="5"/>
  <c r="IL28" i="5" s="1"/>
  <c r="ID28" i="5"/>
  <c r="IE28" i="5" s="1"/>
  <c r="HZ28" i="5"/>
  <c r="IC28" i="5" s="1"/>
  <c r="HU28" i="5"/>
  <c r="HV28" i="5" s="1"/>
  <c r="HQ28" i="5"/>
  <c r="HT28" i="5" s="1"/>
  <c r="HL28" i="5"/>
  <c r="HM28" i="5" s="1"/>
  <c r="HH28" i="5"/>
  <c r="HK28" i="5" s="1"/>
  <c r="HC28" i="5"/>
  <c r="HD28" i="5" s="1"/>
  <c r="GY28" i="5"/>
  <c r="HB28" i="5" s="1"/>
  <c r="GT28" i="5"/>
  <c r="GU28" i="5" s="1"/>
  <c r="GP28" i="5"/>
  <c r="GS28" i="5" s="1"/>
  <c r="GK28" i="5"/>
  <c r="GL28" i="5" s="1"/>
  <c r="GG28" i="5"/>
  <c r="GJ28" i="5" s="1"/>
  <c r="GB28" i="5"/>
  <c r="GC28" i="5" s="1"/>
  <c r="FX28" i="5"/>
  <c r="GA28" i="5" s="1"/>
  <c r="FS28" i="5"/>
  <c r="FT28" i="5" s="1"/>
  <c r="FO28" i="5"/>
  <c r="FR28" i="5" s="1"/>
  <c r="FJ28" i="5"/>
  <c r="FK28" i="5" s="1"/>
  <c r="FF28" i="5"/>
  <c r="FI28" i="5" s="1"/>
  <c r="FA28" i="5"/>
  <c r="FB28" i="5" s="1"/>
  <c r="EW28" i="5"/>
  <c r="EZ28" i="5" s="1"/>
  <c r="ER28" i="5"/>
  <c r="ES28" i="5" s="1"/>
  <c r="EN28" i="5"/>
  <c r="EQ28" i="5" s="1"/>
  <c r="EI28" i="5"/>
  <c r="EJ28" i="5" s="1"/>
  <c r="EE28" i="5"/>
  <c r="EH28" i="5" s="1"/>
  <c r="DZ28" i="5"/>
  <c r="EA28" i="5" s="1"/>
  <c r="DV28" i="5"/>
  <c r="DY28" i="5" s="1"/>
  <c r="DQ28" i="5"/>
  <c r="DR28" i="5" s="1"/>
  <c r="DM28" i="5"/>
  <c r="DP28" i="5" s="1"/>
  <c r="DH28" i="5"/>
  <c r="DI28" i="5" s="1"/>
  <c r="DD28" i="5"/>
  <c r="DG28" i="5" s="1"/>
  <c r="CY28" i="5"/>
  <c r="CZ28" i="5" s="1"/>
  <c r="CU28" i="5"/>
  <c r="CX28" i="5" s="1"/>
  <c r="CP28" i="5"/>
  <c r="CQ28" i="5" s="1"/>
  <c r="CL28" i="5"/>
  <c r="CO28" i="5" s="1"/>
  <c r="CD28" i="5"/>
  <c r="CG28" i="5" s="1"/>
  <c r="BV28" i="5"/>
  <c r="BY28" i="5" s="1"/>
  <c r="BQ28" i="5"/>
  <c r="BR28" i="5" s="1"/>
  <c r="BM28" i="5"/>
  <c r="BP28" i="5" s="1"/>
  <c r="BH28" i="5"/>
  <c r="BI28" i="5" s="1"/>
  <c r="BD28" i="5"/>
  <c r="BG28" i="5" s="1"/>
  <c r="AY28" i="5"/>
  <c r="AZ28" i="5" s="1"/>
  <c r="AU28" i="5"/>
  <c r="AX28" i="5" s="1"/>
  <c r="AP28" i="5"/>
  <c r="AQ28" i="5" s="1"/>
  <c r="AL28" i="5"/>
  <c r="AO28" i="5" s="1"/>
  <c r="AG28" i="5"/>
  <c r="AH28" i="5" s="1"/>
  <c r="AD28" i="5"/>
  <c r="Y28" i="5"/>
  <c r="Z28" i="5" s="1"/>
  <c r="V28" i="5"/>
  <c r="Q28" i="5"/>
  <c r="R28" i="5" s="1"/>
  <c r="M28" i="5"/>
  <c r="P28" i="5" s="1"/>
  <c r="H28" i="5"/>
  <c r="I28" i="5" s="1"/>
  <c r="D28" i="5"/>
  <c r="G28" i="5" s="1"/>
  <c r="VU27" i="5"/>
  <c r="VV27" i="5" s="1"/>
  <c r="VQ27" i="5"/>
  <c r="VT27" i="5" s="1"/>
  <c r="VL27" i="5"/>
  <c r="VM27" i="5" s="1"/>
  <c r="VH27" i="5"/>
  <c r="VK27" i="5" s="1"/>
  <c r="VC27" i="5"/>
  <c r="VD27" i="5" s="1"/>
  <c r="UY27" i="5"/>
  <c r="VB27" i="5" s="1"/>
  <c r="UT27" i="5"/>
  <c r="UU27" i="5" s="1"/>
  <c r="UP27" i="5"/>
  <c r="US27" i="5" s="1"/>
  <c r="UI27" i="5"/>
  <c r="UL27" i="5" s="1"/>
  <c r="UD27" i="5"/>
  <c r="UE27" i="5" s="1"/>
  <c r="TZ27" i="5"/>
  <c r="UC27" i="5" s="1"/>
  <c r="TS27" i="5"/>
  <c r="TV27" i="5" s="1"/>
  <c r="TN27" i="5"/>
  <c r="TO27" i="5" s="1"/>
  <c r="TJ27" i="5"/>
  <c r="TM27" i="5" s="1"/>
  <c r="TE27" i="5"/>
  <c r="TF27" i="5" s="1"/>
  <c r="TA27" i="5"/>
  <c r="TD27" i="5" s="1"/>
  <c r="SV27" i="5"/>
  <c r="SW27" i="5" s="1"/>
  <c r="SR27" i="5"/>
  <c r="SU27" i="5" s="1"/>
  <c r="SM27" i="5"/>
  <c r="SN27" i="5" s="1"/>
  <c r="SI27" i="5"/>
  <c r="SL27" i="5" s="1"/>
  <c r="SD27" i="5"/>
  <c r="SE27" i="5" s="1"/>
  <c r="RZ27" i="5"/>
  <c r="SC27" i="5" s="1"/>
  <c r="RU27" i="5"/>
  <c r="RV27" i="5" s="1"/>
  <c r="RQ27" i="5"/>
  <c r="RT27" i="5" s="1"/>
  <c r="RL27" i="5"/>
  <c r="RM27" i="5" s="1"/>
  <c r="RH27" i="5"/>
  <c r="RK27" i="5" s="1"/>
  <c r="RC27" i="5"/>
  <c r="RD27" i="5" s="1"/>
  <c r="QY27" i="5"/>
  <c r="RB27" i="5" s="1"/>
  <c r="QT27" i="5"/>
  <c r="QU27" i="5" s="1"/>
  <c r="QP27" i="5"/>
  <c r="QS27" i="5" s="1"/>
  <c r="QK27" i="5"/>
  <c r="QL27" i="5" s="1"/>
  <c r="QG27" i="5"/>
  <c r="QJ27" i="5" s="1"/>
  <c r="QB27" i="5"/>
  <c r="QC27" i="5" s="1"/>
  <c r="PX27" i="5"/>
  <c r="QA27" i="5" s="1"/>
  <c r="PQ27" i="5"/>
  <c r="PT27" i="5" s="1"/>
  <c r="PL27" i="5"/>
  <c r="PM27" i="5" s="1"/>
  <c r="PH27" i="5"/>
  <c r="PK27" i="5" s="1"/>
  <c r="PC27" i="5"/>
  <c r="PD27" i="5" s="1"/>
  <c r="OY27" i="5"/>
  <c r="PB27" i="5" s="1"/>
  <c r="OT27" i="5"/>
  <c r="OU27" i="5" s="1"/>
  <c r="OP27" i="5"/>
  <c r="OS27" i="5" s="1"/>
  <c r="OK27" i="5"/>
  <c r="OL27" i="5" s="1"/>
  <c r="OG27" i="5"/>
  <c r="OJ27" i="5" s="1"/>
  <c r="OB27" i="5"/>
  <c r="OC27" i="5" s="1"/>
  <c r="NX27" i="5"/>
  <c r="OA27" i="5" s="1"/>
  <c r="NS27" i="5"/>
  <c r="NT27" i="5" s="1"/>
  <c r="NO27" i="5"/>
  <c r="NR27" i="5" s="1"/>
  <c r="NJ27" i="5"/>
  <c r="NK27" i="5" s="1"/>
  <c r="NF27" i="5"/>
  <c r="NI27" i="5" s="1"/>
  <c r="NA27" i="5"/>
  <c r="NB27" i="5" s="1"/>
  <c r="MW27" i="5"/>
  <c r="MZ27" i="5" s="1"/>
  <c r="MR27" i="5"/>
  <c r="MS27" i="5" s="1"/>
  <c r="MN27" i="5"/>
  <c r="MQ27" i="5" s="1"/>
  <c r="MI27" i="5"/>
  <c r="MJ27" i="5" s="1"/>
  <c r="ME27" i="5"/>
  <c r="MH27" i="5" s="1"/>
  <c r="LZ27" i="5"/>
  <c r="MA27" i="5" s="1"/>
  <c r="LV27" i="5"/>
  <c r="LY27" i="5" s="1"/>
  <c r="LQ27" i="5"/>
  <c r="LR27" i="5" s="1"/>
  <c r="LM27" i="5"/>
  <c r="LP27" i="5" s="1"/>
  <c r="LG27" i="5"/>
  <c r="LH27" i="5" s="1"/>
  <c r="LC27" i="5"/>
  <c r="LF27" i="5" s="1"/>
  <c r="KX27" i="5"/>
  <c r="KY27" i="5" s="1"/>
  <c r="KT27" i="5"/>
  <c r="KW27" i="5" s="1"/>
  <c r="KO27" i="5"/>
  <c r="KP27" i="5" s="1"/>
  <c r="KK27" i="5"/>
  <c r="KN27" i="5" s="1"/>
  <c r="KF27" i="5"/>
  <c r="KG27" i="5" s="1"/>
  <c r="KB27" i="5"/>
  <c r="KE27" i="5" s="1"/>
  <c r="JW27" i="5"/>
  <c r="JX27" i="5" s="1"/>
  <c r="JS27" i="5"/>
  <c r="JV27" i="5" s="1"/>
  <c r="JN27" i="5"/>
  <c r="JO27" i="5" s="1"/>
  <c r="JJ27" i="5"/>
  <c r="JM27" i="5" s="1"/>
  <c r="JE27" i="5"/>
  <c r="JF27" i="5" s="1"/>
  <c r="JA27" i="5"/>
  <c r="JD27" i="5" s="1"/>
  <c r="IV27" i="5"/>
  <c r="IW27" i="5" s="1"/>
  <c r="IR27" i="5"/>
  <c r="IU27" i="5" s="1"/>
  <c r="IM27" i="5"/>
  <c r="IN27" i="5" s="1"/>
  <c r="II27" i="5"/>
  <c r="IL27" i="5" s="1"/>
  <c r="ID27" i="5"/>
  <c r="IE27" i="5" s="1"/>
  <c r="HZ27" i="5"/>
  <c r="IC27" i="5" s="1"/>
  <c r="HU27" i="5"/>
  <c r="HV27" i="5" s="1"/>
  <c r="HQ27" i="5"/>
  <c r="HT27" i="5" s="1"/>
  <c r="HL27" i="5"/>
  <c r="HM27" i="5" s="1"/>
  <c r="HH27" i="5"/>
  <c r="HK27" i="5" s="1"/>
  <c r="HC27" i="5"/>
  <c r="HD27" i="5" s="1"/>
  <c r="GY27" i="5"/>
  <c r="HB27" i="5" s="1"/>
  <c r="GT27" i="5"/>
  <c r="GU27" i="5" s="1"/>
  <c r="GP27" i="5"/>
  <c r="GS27" i="5" s="1"/>
  <c r="GK27" i="5"/>
  <c r="GL27" i="5" s="1"/>
  <c r="GG27" i="5"/>
  <c r="GJ27" i="5" s="1"/>
  <c r="GB27" i="5"/>
  <c r="GC27" i="5" s="1"/>
  <c r="FX27" i="5"/>
  <c r="GA27" i="5" s="1"/>
  <c r="FS27" i="5"/>
  <c r="FT27" i="5" s="1"/>
  <c r="FO27" i="5"/>
  <c r="FR27" i="5" s="1"/>
  <c r="FJ27" i="5"/>
  <c r="FK27" i="5" s="1"/>
  <c r="FF27" i="5"/>
  <c r="FI27" i="5" s="1"/>
  <c r="FA27" i="5"/>
  <c r="FB27" i="5" s="1"/>
  <c r="EW27" i="5"/>
  <c r="EZ27" i="5" s="1"/>
  <c r="ER27" i="5"/>
  <c r="ES27" i="5" s="1"/>
  <c r="EN27" i="5"/>
  <c r="EQ27" i="5" s="1"/>
  <c r="EI27" i="5"/>
  <c r="EJ27" i="5" s="1"/>
  <c r="EE27" i="5"/>
  <c r="EH27" i="5" s="1"/>
  <c r="DZ27" i="5"/>
  <c r="EA27" i="5" s="1"/>
  <c r="DV27" i="5"/>
  <c r="DY27" i="5" s="1"/>
  <c r="DQ27" i="5"/>
  <c r="DR27" i="5" s="1"/>
  <c r="DM27" i="5"/>
  <c r="DP27" i="5" s="1"/>
  <c r="DH27" i="5"/>
  <c r="DI27" i="5" s="1"/>
  <c r="DD27" i="5"/>
  <c r="DG27" i="5" s="1"/>
  <c r="CY27" i="5"/>
  <c r="CZ27" i="5" s="1"/>
  <c r="CU27" i="5"/>
  <c r="CX27" i="5" s="1"/>
  <c r="CP27" i="5"/>
  <c r="CQ27" i="5" s="1"/>
  <c r="CL27" i="5"/>
  <c r="CO27" i="5" s="1"/>
  <c r="CD27" i="5"/>
  <c r="CG27" i="5" s="1"/>
  <c r="BV27" i="5"/>
  <c r="BY27" i="5" s="1"/>
  <c r="BQ27" i="5"/>
  <c r="BR27" i="5" s="1"/>
  <c r="BM27" i="5"/>
  <c r="BP27" i="5" s="1"/>
  <c r="BH27" i="5"/>
  <c r="BI27" i="5" s="1"/>
  <c r="BD27" i="5"/>
  <c r="BG27" i="5" s="1"/>
  <c r="AY27" i="5"/>
  <c r="AZ27" i="5" s="1"/>
  <c r="AU27" i="5"/>
  <c r="AX27" i="5" s="1"/>
  <c r="AP27" i="5"/>
  <c r="AQ27" i="5" s="1"/>
  <c r="AL27" i="5"/>
  <c r="AO27" i="5" s="1"/>
  <c r="AG27" i="5"/>
  <c r="AH27" i="5" s="1"/>
  <c r="AD27" i="5"/>
  <c r="Y27" i="5"/>
  <c r="Z27" i="5" s="1"/>
  <c r="V27" i="5"/>
  <c r="Q27" i="5"/>
  <c r="R27" i="5" s="1"/>
  <c r="M27" i="5"/>
  <c r="P27" i="5" s="1"/>
  <c r="H27" i="5"/>
  <c r="I27" i="5" s="1"/>
  <c r="D27" i="5"/>
  <c r="G27" i="5" s="1"/>
  <c r="VU26" i="5"/>
  <c r="VV26" i="5" s="1"/>
  <c r="VQ26" i="5"/>
  <c r="VT26" i="5" s="1"/>
  <c r="VL26" i="5"/>
  <c r="VM26" i="5" s="1"/>
  <c r="VH26" i="5"/>
  <c r="VK26" i="5" s="1"/>
  <c r="VC26" i="5"/>
  <c r="VD26" i="5" s="1"/>
  <c r="UY26" i="5"/>
  <c r="VB26" i="5" s="1"/>
  <c r="UT26" i="5"/>
  <c r="UU26" i="5" s="1"/>
  <c r="UP26" i="5"/>
  <c r="US26" i="5" s="1"/>
  <c r="UI26" i="5"/>
  <c r="UL26" i="5" s="1"/>
  <c r="UD26" i="5"/>
  <c r="UE26" i="5" s="1"/>
  <c r="TZ26" i="5"/>
  <c r="UC26" i="5" s="1"/>
  <c r="TS26" i="5"/>
  <c r="TV26" i="5" s="1"/>
  <c r="TN26" i="5"/>
  <c r="TO26" i="5" s="1"/>
  <c r="TJ26" i="5"/>
  <c r="TM26" i="5" s="1"/>
  <c r="TE26" i="5"/>
  <c r="TF26" i="5" s="1"/>
  <c r="TA26" i="5"/>
  <c r="TD26" i="5" s="1"/>
  <c r="SV26" i="5"/>
  <c r="SW26" i="5" s="1"/>
  <c r="SR26" i="5"/>
  <c r="SU26" i="5" s="1"/>
  <c r="SM26" i="5"/>
  <c r="SN26" i="5" s="1"/>
  <c r="SI26" i="5"/>
  <c r="SL26" i="5" s="1"/>
  <c r="SD26" i="5"/>
  <c r="SE26" i="5" s="1"/>
  <c r="RZ26" i="5"/>
  <c r="SC26" i="5" s="1"/>
  <c r="RU26" i="5"/>
  <c r="RV26" i="5" s="1"/>
  <c r="RQ26" i="5"/>
  <c r="RT26" i="5" s="1"/>
  <c r="RL26" i="5"/>
  <c r="RM26" i="5" s="1"/>
  <c r="RH26" i="5"/>
  <c r="RK26" i="5" s="1"/>
  <c r="RC26" i="5"/>
  <c r="RD26" i="5" s="1"/>
  <c r="QY26" i="5"/>
  <c r="RB26" i="5" s="1"/>
  <c r="QT26" i="5"/>
  <c r="QU26" i="5" s="1"/>
  <c r="QP26" i="5"/>
  <c r="QS26" i="5" s="1"/>
  <c r="QK26" i="5"/>
  <c r="QL26" i="5" s="1"/>
  <c r="QG26" i="5"/>
  <c r="QJ26" i="5" s="1"/>
  <c r="QB26" i="5"/>
  <c r="QC26" i="5" s="1"/>
  <c r="PX26" i="5"/>
  <c r="QA26" i="5" s="1"/>
  <c r="PQ26" i="5"/>
  <c r="PT26" i="5" s="1"/>
  <c r="PL26" i="5"/>
  <c r="PM26" i="5" s="1"/>
  <c r="PH26" i="5"/>
  <c r="PK26" i="5" s="1"/>
  <c r="PC26" i="5"/>
  <c r="PD26" i="5" s="1"/>
  <c r="OY26" i="5"/>
  <c r="PB26" i="5" s="1"/>
  <c r="OT26" i="5"/>
  <c r="OU26" i="5" s="1"/>
  <c r="OP26" i="5"/>
  <c r="OS26" i="5" s="1"/>
  <c r="OK26" i="5"/>
  <c r="OL26" i="5" s="1"/>
  <c r="OG26" i="5"/>
  <c r="OJ26" i="5" s="1"/>
  <c r="OB26" i="5"/>
  <c r="OC26" i="5" s="1"/>
  <c r="NX26" i="5"/>
  <c r="OA26" i="5" s="1"/>
  <c r="NS26" i="5"/>
  <c r="NT26" i="5" s="1"/>
  <c r="NO26" i="5"/>
  <c r="NR26" i="5" s="1"/>
  <c r="NJ26" i="5"/>
  <c r="NK26" i="5" s="1"/>
  <c r="NF26" i="5"/>
  <c r="NI26" i="5" s="1"/>
  <c r="NA26" i="5"/>
  <c r="NB26" i="5" s="1"/>
  <c r="MW26" i="5"/>
  <c r="MZ26" i="5" s="1"/>
  <c r="MR26" i="5"/>
  <c r="MS26" i="5" s="1"/>
  <c r="MN26" i="5"/>
  <c r="MQ26" i="5" s="1"/>
  <c r="MI26" i="5"/>
  <c r="MJ26" i="5" s="1"/>
  <c r="ME26" i="5"/>
  <c r="MH26" i="5" s="1"/>
  <c r="LZ26" i="5"/>
  <c r="MA26" i="5" s="1"/>
  <c r="LV26" i="5"/>
  <c r="LY26" i="5" s="1"/>
  <c r="LQ26" i="5"/>
  <c r="LR26" i="5" s="1"/>
  <c r="LM26" i="5"/>
  <c r="LP26" i="5" s="1"/>
  <c r="LG26" i="5"/>
  <c r="LH26" i="5" s="1"/>
  <c r="LC26" i="5"/>
  <c r="LF26" i="5" s="1"/>
  <c r="KX26" i="5"/>
  <c r="KY26" i="5" s="1"/>
  <c r="KT26" i="5"/>
  <c r="KW26" i="5" s="1"/>
  <c r="KO26" i="5"/>
  <c r="KP26" i="5" s="1"/>
  <c r="KK26" i="5"/>
  <c r="KN26" i="5" s="1"/>
  <c r="KF26" i="5"/>
  <c r="KG26" i="5" s="1"/>
  <c r="KB26" i="5"/>
  <c r="KE26" i="5" s="1"/>
  <c r="JW26" i="5"/>
  <c r="JX26" i="5" s="1"/>
  <c r="JS26" i="5"/>
  <c r="JV26" i="5" s="1"/>
  <c r="JN26" i="5"/>
  <c r="JO26" i="5" s="1"/>
  <c r="JJ26" i="5"/>
  <c r="JM26" i="5" s="1"/>
  <c r="JE26" i="5"/>
  <c r="JF26" i="5" s="1"/>
  <c r="JA26" i="5"/>
  <c r="JD26" i="5" s="1"/>
  <c r="IV26" i="5"/>
  <c r="IW26" i="5" s="1"/>
  <c r="IR26" i="5"/>
  <c r="IU26" i="5" s="1"/>
  <c r="IM26" i="5"/>
  <c r="IN26" i="5" s="1"/>
  <c r="II26" i="5"/>
  <c r="IL26" i="5" s="1"/>
  <c r="ID26" i="5"/>
  <c r="IE26" i="5" s="1"/>
  <c r="HZ26" i="5"/>
  <c r="IC26" i="5" s="1"/>
  <c r="HU26" i="5"/>
  <c r="HV26" i="5" s="1"/>
  <c r="HQ26" i="5"/>
  <c r="HT26" i="5" s="1"/>
  <c r="HL26" i="5"/>
  <c r="HM26" i="5" s="1"/>
  <c r="HH26" i="5"/>
  <c r="HK26" i="5" s="1"/>
  <c r="HC26" i="5"/>
  <c r="HD26" i="5" s="1"/>
  <c r="GY26" i="5"/>
  <c r="HB26" i="5" s="1"/>
  <c r="GT26" i="5"/>
  <c r="GU26" i="5" s="1"/>
  <c r="GP26" i="5"/>
  <c r="GS26" i="5" s="1"/>
  <c r="GK26" i="5"/>
  <c r="GL26" i="5" s="1"/>
  <c r="GG26" i="5"/>
  <c r="GJ26" i="5" s="1"/>
  <c r="GB26" i="5"/>
  <c r="GC26" i="5" s="1"/>
  <c r="FX26" i="5"/>
  <c r="GA26" i="5" s="1"/>
  <c r="FS26" i="5"/>
  <c r="FT26" i="5" s="1"/>
  <c r="FO26" i="5"/>
  <c r="FR26" i="5" s="1"/>
  <c r="FJ26" i="5"/>
  <c r="FK26" i="5" s="1"/>
  <c r="FF26" i="5"/>
  <c r="FI26" i="5" s="1"/>
  <c r="FA26" i="5"/>
  <c r="FB26" i="5" s="1"/>
  <c r="EW26" i="5"/>
  <c r="EZ26" i="5" s="1"/>
  <c r="ER26" i="5"/>
  <c r="ES26" i="5" s="1"/>
  <c r="EN26" i="5"/>
  <c r="EQ26" i="5" s="1"/>
  <c r="EI26" i="5"/>
  <c r="EJ26" i="5" s="1"/>
  <c r="EE26" i="5"/>
  <c r="EH26" i="5" s="1"/>
  <c r="DZ26" i="5"/>
  <c r="EA26" i="5" s="1"/>
  <c r="DV26" i="5"/>
  <c r="DY26" i="5" s="1"/>
  <c r="DQ26" i="5"/>
  <c r="DR26" i="5" s="1"/>
  <c r="DM26" i="5"/>
  <c r="DP26" i="5" s="1"/>
  <c r="DH26" i="5"/>
  <c r="DI26" i="5" s="1"/>
  <c r="DD26" i="5"/>
  <c r="DG26" i="5" s="1"/>
  <c r="CY26" i="5"/>
  <c r="CZ26" i="5" s="1"/>
  <c r="CU26" i="5"/>
  <c r="CX26" i="5" s="1"/>
  <c r="CP26" i="5"/>
  <c r="CQ26" i="5" s="1"/>
  <c r="CL26" i="5"/>
  <c r="CO26" i="5" s="1"/>
  <c r="CD26" i="5"/>
  <c r="CG26" i="5" s="1"/>
  <c r="BV26" i="5"/>
  <c r="BY26" i="5" s="1"/>
  <c r="BQ26" i="5"/>
  <c r="BR26" i="5" s="1"/>
  <c r="BM26" i="5"/>
  <c r="BP26" i="5" s="1"/>
  <c r="BH26" i="5"/>
  <c r="BI26" i="5" s="1"/>
  <c r="BD26" i="5"/>
  <c r="BG26" i="5" s="1"/>
  <c r="AY26" i="5"/>
  <c r="AZ26" i="5" s="1"/>
  <c r="AU26" i="5"/>
  <c r="AX26" i="5" s="1"/>
  <c r="AP26" i="5"/>
  <c r="AQ26" i="5" s="1"/>
  <c r="AL26" i="5"/>
  <c r="AO26" i="5" s="1"/>
  <c r="AG26" i="5"/>
  <c r="AH26" i="5" s="1"/>
  <c r="AD26" i="5"/>
  <c r="Y26" i="5"/>
  <c r="Z26" i="5" s="1"/>
  <c r="V26" i="5"/>
  <c r="Q26" i="5"/>
  <c r="R26" i="5" s="1"/>
  <c r="M26" i="5"/>
  <c r="P26" i="5" s="1"/>
  <c r="H26" i="5"/>
  <c r="I26" i="5" s="1"/>
  <c r="D26" i="5"/>
  <c r="G26" i="5" s="1"/>
  <c r="VU25" i="5"/>
  <c r="VV25" i="5" s="1"/>
  <c r="VQ25" i="5"/>
  <c r="VT25" i="5" s="1"/>
  <c r="VL25" i="5"/>
  <c r="VM25" i="5" s="1"/>
  <c r="VH25" i="5"/>
  <c r="VK25" i="5" s="1"/>
  <c r="VC25" i="5"/>
  <c r="VD25" i="5" s="1"/>
  <c r="UY25" i="5"/>
  <c r="VB25" i="5" s="1"/>
  <c r="UT25" i="5"/>
  <c r="UU25" i="5" s="1"/>
  <c r="UP25" i="5"/>
  <c r="US25" i="5" s="1"/>
  <c r="UI25" i="5"/>
  <c r="UL25" i="5" s="1"/>
  <c r="UD25" i="5"/>
  <c r="UE25" i="5" s="1"/>
  <c r="TZ25" i="5"/>
  <c r="UC25" i="5" s="1"/>
  <c r="TS25" i="5"/>
  <c r="TV25" i="5" s="1"/>
  <c r="TN25" i="5"/>
  <c r="TO25" i="5" s="1"/>
  <c r="TJ25" i="5"/>
  <c r="TM25" i="5" s="1"/>
  <c r="TE25" i="5"/>
  <c r="TF25" i="5" s="1"/>
  <c r="TA25" i="5"/>
  <c r="TD25" i="5" s="1"/>
  <c r="SV25" i="5"/>
  <c r="SW25" i="5" s="1"/>
  <c r="SR25" i="5"/>
  <c r="SU25" i="5" s="1"/>
  <c r="SM25" i="5"/>
  <c r="SN25" i="5" s="1"/>
  <c r="SI25" i="5"/>
  <c r="SL25" i="5" s="1"/>
  <c r="SD25" i="5"/>
  <c r="SE25" i="5" s="1"/>
  <c r="RZ25" i="5"/>
  <c r="SC25" i="5" s="1"/>
  <c r="RU25" i="5"/>
  <c r="RV25" i="5" s="1"/>
  <c r="RQ25" i="5"/>
  <c r="RT25" i="5" s="1"/>
  <c r="RL25" i="5"/>
  <c r="RM25" i="5" s="1"/>
  <c r="RH25" i="5"/>
  <c r="RK25" i="5" s="1"/>
  <c r="RC25" i="5"/>
  <c r="RD25" i="5" s="1"/>
  <c r="QY25" i="5"/>
  <c r="RB25" i="5" s="1"/>
  <c r="QT25" i="5"/>
  <c r="QU25" i="5" s="1"/>
  <c r="QP25" i="5"/>
  <c r="QS25" i="5" s="1"/>
  <c r="QK25" i="5"/>
  <c r="QL25" i="5" s="1"/>
  <c r="QG25" i="5"/>
  <c r="QJ25" i="5" s="1"/>
  <c r="QB25" i="5"/>
  <c r="QC25" i="5" s="1"/>
  <c r="PX25" i="5"/>
  <c r="QA25" i="5" s="1"/>
  <c r="PQ25" i="5"/>
  <c r="PT25" i="5" s="1"/>
  <c r="PL25" i="5"/>
  <c r="PM25" i="5" s="1"/>
  <c r="PH25" i="5"/>
  <c r="PK25" i="5" s="1"/>
  <c r="PC25" i="5"/>
  <c r="PD25" i="5" s="1"/>
  <c r="OY25" i="5"/>
  <c r="PB25" i="5" s="1"/>
  <c r="OT25" i="5"/>
  <c r="OU25" i="5" s="1"/>
  <c r="OP25" i="5"/>
  <c r="OS25" i="5" s="1"/>
  <c r="OK25" i="5"/>
  <c r="OL25" i="5" s="1"/>
  <c r="OG25" i="5"/>
  <c r="OJ25" i="5" s="1"/>
  <c r="OB25" i="5"/>
  <c r="OC25" i="5" s="1"/>
  <c r="NX25" i="5"/>
  <c r="OA25" i="5" s="1"/>
  <c r="NS25" i="5"/>
  <c r="NT25" i="5" s="1"/>
  <c r="NO25" i="5"/>
  <c r="NR25" i="5" s="1"/>
  <c r="NJ25" i="5"/>
  <c r="NK25" i="5" s="1"/>
  <c r="NF25" i="5"/>
  <c r="NI25" i="5" s="1"/>
  <c r="NA25" i="5"/>
  <c r="NB25" i="5" s="1"/>
  <c r="MW25" i="5"/>
  <c r="MZ25" i="5" s="1"/>
  <c r="MR25" i="5"/>
  <c r="MS25" i="5" s="1"/>
  <c r="MN25" i="5"/>
  <c r="MQ25" i="5" s="1"/>
  <c r="MI25" i="5"/>
  <c r="MJ25" i="5" s="1"/>
  <c r="ME25" i="5"/>
  <c r="MH25" i="5" s="1"/>
  <c r="LZ25" i="5"/>
  <c r="MA25" i="5" s="1"/>
  <c r="LV25" i="5"/>
  <c r="LY25" i="5" s="1"/>
  <c r="LQ25" i="5"/>
  <c r="LR25" i="5" s="1"/>
  <c r="LM25" i="5"/>
  <c r="LP25" i="5" s="1"/>
  <c r="LG25" i="5"/>
  <c r="LH25" i="5" s="1"/>
  <c r="LC25" i="5"/>
  <c r="LF25" i="5" s="1"/>
  <c r="KX25" i="5"/>
  <c r="KY25" i="5" s="1"/>
  <c r="KT25" i="5"/>
  <c r="KW25" i="5" s="1"/>
  <c r="KO25" i="5"/>
  <c r="KP25" i="5" s="1"/>
  <c r="KK25" i="5"/>
  <c r="KN25" i="5" s="1"/>
  <c r="KF25" i="5"/>
  <c r="KG25" i="5" s="1"/>
  <c r="KB25" i="5"/>
  <c r="KE25" i="5" s="1"/>
  <c r="JW25" i="5"/>
  <c r="JX25" i="5" s="1"/>
  <c r="JS25" i="5"/>
  <c r="JV25" i="5" s="1"/>
  <c r="JN25" i="5"/>
  <c r="JO25" i="5" s="1"/>
  <c r="JJ25" i="5"/>
  <c r="JM25" i="5" s="1"/>
  <c r="JE25" i="5"/>
  <c r="JF25" i="5" s="1"/>
  <c r="JA25" i="5"/>
  <c r="JD25" i="5" s="1"/>
  <c r="IV25" i="5"/>
  <c r="IW25" i="5" s="1"/>
  <c r="IR25" i="5"/>
  <c r="IU25" i="5" s="1"/>
  <c r="IM25" i="5"/>
  <c r="IN25" i="5" s="1"/>
  <c r="II25" i="5"/>
  <c r="IL25" i="5" s="1"/>
  <c r="ID25" i="5"/>
  <c r="IE25" i="5" s="1"/>
  <c r="HZ25" i="5"/>
  <c r="IC25" i="5" s="1"/>
  <c r="HU25" i="5"/>
  <c r="HV25" i="5" s="1"/>
  <c r="HQ25" i="5"/>
  <c r="HT25" i="5" s="1"/>
  <c r="HL25" i="5"/>
  <c r="HM25" i="5" s="1"/>
  <c r="HH25" i="5"/>
  <c r="HK25" i="5" s="1"/>
  <c r="HC25" i="5"/>
  <c r="HD25" i="5" s="1"/>
  <c r="GY25" i="5"/>
  <c r="HB25" i="5" s="1"/>
  <c r="GT25" i="5"/>
  <c r="GU25" i="5" s="1"/>
  <c r="GP25" i="5"/>
  <c r="GS25" i="5" s="1"/>
  <c r="GK25" i="5"/>
  <c r="GL25" i="5" s="1"/>
  <c r="GG25" i="5"/>
  <c r="GJ25" i="5" s="1"/>
  <c r="GB25" i="5"/>
  <c r="GC25" i="5" s="1"/>
  <c r="FX25" i="5"/>
  <c r="GA25" i="5" s="1"/>
  <c r="FS25" i="5"/>
  <c r="FT25" i="5" s="1"/>
  <c r="FO25" i="5"/>
  <c r="FR25" i="5" s="1"/>
  <c r="FJ25" i="5"/>
  <c r="FK25" i="5" s="1"/>
  <c r="FF25" i="5"/>
  <c r="FI25" i="5" s="1"/>
  <c r="FA25" i="5"/>
  <c r="FB25" i="5" s="1"/>
  <c r="EW25" i="5"/>
  <c r="EZ25" i="5" s="1"/>
  <c r="ER25" i="5"/>
  <c r="ES25" i="5" s="1"/>
  <c r="EN25" i="5"/>
  <c r="EQ25" i="5" s="1"/>
  <c r="EI25" i="5"/>
  <c r="EJ25" i="5" s="1"/>
  <c r="EE25" i="5"/>
  <c r="EH25" i="5" s="1"/>
  <c r="DZ25" i="5"/>
  <c r="EA25" i="5" s="1"/>
  <c r="DV25" i="5"/>
  <c r="DY25" i="5" s="1"/>
  <c r="DQ25" i="5"/>
  <c r="DR25" i="5" s="1"/>
  <c r="DM25" i="5"/>
  <c r="DP25" i="5" s="1"/>
  <c r="DH25" i="5"/>
  <c r="DI25" i="5" s="1"/>
  <c r="DD25" i="5"/>
  <c r="DG25" i="5" s="1"/>
  <c r="CY25" i="5"/>
  <c r="CZ25" i="5" s="1"/>
  <c r="CU25" i="5"/>
  <c r="CX25" i="5" s="1"/>
  <c r="CP25" i="5"/>
  <c r="CQ25" i="5" s="1"/>
  <c r="CL25" i="5"/>
  <c r="CO25" i="5" s="1"/>
  <c r="CD25" i="5"/>
  <c r="CG25" i="5" s="1"/>
  <c r="BV25" i="5"/>
  <c r="BY25" i="5" s="1"/>
  <c r="BQ25" i="5"/>
  <c r="BR25" i="5" s="1"/>
  <c r="BM25" i="5"/>
  <c r="BP25" i="5" s="1"/>
  <c r="BH25" i="5"/>
  <c r="BI25" i="5" s="1"/>
  <c r="BD25" i="5"/>
  <c r="BG25" i="5" s="1"/>
  <c r="AY25" i="5"/>
  <c r="AZ25" i="5" s="1"/>
  <c r="AU25" i="5"/>
  <c r="AX25" i="5" s="1"/>
  <c r="AP25" i="5"/>
  <c r="AQ25" i="5" s="1"/>
  <c r="AL25" i="5"/>
  <c r="AO25" i="5" s="1"/>
  <c r="AG25" i="5"/>
  <c r="AH25" i="5" s="1"/>
  <c r="AD25" i="5"/>
  <c r="Y25" i="5"/>
  <c r="Z25" i="5" s="1"/>
  <c r="V25" i="5"/>
  <c r="Q25" i="5"/>
  <c r="R25" i="5" s="1"/>
  <c r="M25" i="5"/>
  <c r="P25" i="5" s="1"/>
  <c r="H25" i="5"/>
  <c r="I25" i="5" s="1"/>
  <c r="D25" i="5"/>
  <c r="G25" i="5" s="1"/>
  <c r="VU24" i="5"/>
  <c r="VV24" i="5" s="1"/>
  <c r="VQ24" i="5"/>
  <c r="VT24" i="5" s="1"/>
  <c r="VL24" i="5"/>
  <c r="VM24" i="5" s="1"/>
  <c r="VH24" i="5"/>
  <c r="VK24" i="5" s="1"/>
  <c r="VC24" i="5"/>
  <c r="VD24" i="5" s="1"/>
  <c r="UY24" i="5"/>
  <c r="VB24" i="5" s="1"/>
  <c r="UT24" i="5"/>
  <c r="UU24" i="5" s="1"/>
  <c r="UP24" i="5"/>
  <c r="US24" i="5" s="1"/>
  <c r="UI24" i="5"/>
  <c r="UL24" i="5" s="1"/>
  <c r="UD24" i="5"/>
  <c r="UE24" i="5" s="1"/>
  <c r="TZ24" i="5"/>
  <c r="UC24" i="5" s="1"/>
  <c r="TS24" i="5"/>
  <c r="TV24" i="5" s="1"/>
  <c r="TN24" i="5"/>
  <c r="TO24" i="5" s="1"/>
  <c r="TJ24" i="5"/>
  <c r="TM24" i="5" s="1"/>
  <c r="TE24" i="5"/>
  <c r="TF24" i="5" s="1"/>
  <c r="TA24" i="5"/>
  <c r="TD24" i="5" s="1"/>
  <c r="SV24" i="5"/>
  <c r="SW24" i="5" s="1"/>
  <c r="SR24" i="5"/>
  <c r="SU24" i="5" s="1"/>
  <c r="SM24" i="5"/>
  <c r="SN24" i="5" s="1"/>
  <c r="SI24" i="5"/>
  <c r="SL24" i="5" s="1"/>
  <c r="SD24" i="5"/>
  <c r="SE24" i="5" s="1"/>
  <c r="RZ24" i="5"/>
  <c r="SC24" i="5" s="1"/>
  <c r="RU24" i="5"/>
  <c r="RV24" i="5" s="1"/>
  <c r="RQ24" i="5"/>
  <c r="RT24" i="5" s="1"/>
  <c r="RL24" i="5"/>
  <c r="RM24" i="5" s="1"/>
  <c r="RH24" i="5"/>
  <c r="RK24" i="5" s="1"/>
  <c r="RC24" i="5"/>
  <c r="RD24" i="5" s="1"/>
  <c r="QY24" i="5"/>
  <c r="RB24" i="5" s="1"/>
  <c r="QT24" i="5"/>
  <c r="QU24" i="5" s="1"/>
  <c r="QP24" i="5"/>
  <c r="QS24" i="5" s="1"/>
  <c r="QK24" i="5"/>
  <c r="QL24" i="5" s="1"/>
  <c r="QG24" i="5"/>
  <c r="QJ24" i="5" s="1"/>
  <c r="QB24" i="5"/>
  <c r="QC24" i="5" s="1"/>
  <c r="PX24" i="5"/>
  <c r="QA24" i="5" s="1"/>
  <c r="PQ24" i="5"/>
  <c r="PT24" i="5" s="1"/>
  <c r="PL24" i="5"/>
  <c r="PM24" i="5" s="1"/>
  <c r="PH24" i="5"/>
  <c r="PK24" i="5" s="1"/>
  <c r="PC24" i="5"/>
  <c r="PD24" i="5" s="1"/>
  <c r="OY24" i="5"/>
  <c r="PB24" i="5" s="1"/>
  <c r="OT24" i="5"/>
  <c r="OU24" i="5" s="1"/>
  <c r="OP24" i="5"/>
  <c r="OS24" i="5" s="1"/>
  <c r="OK24" i="5"/>
  <c r="OL24" i="5" s="1"/>
  <c r="OG24" i="5"/>
  <c r="OJ24" i="5" s="1"/>
  <c r="OB24" i="5"/>
  <c r="OC24" i="5" s="1"/>
  <c r="NX24" i="5"/>
  <c r="OA24" i="5" s="1"/>
  <c r="NS24" i="5"/>
  <c r="NT24" i="5" s="1"/>
  <c r="NO24" i="5"/>
  <c r="NR24" i="5" s="1"/>
  <c r="NJ24" i="5"/>
  <c r="NK24" i="5" s="1"/>
  <c r="NF24" i="5"/>
  <c r="NI24" i="5" s="1"/>
  <c r="NA24" i="5"/>
  <c r="NB24" i="5" s="1"/>
  <c r="MW24" i="5"/>
  <c r="MZ24" i="5" s="1"/>
  <c r="MR24" i="5"/>
  <c r="MS24" i="5" s="1"/>
  <c r="MN24" i="5"/>
  <c r="MQ24" i="5" s="1"/>
  <c r="MI24" i="5"/>
  <c r="MJ24" i="5" s="1"/>
  <c r="ME24" i="5"/>
  <c r="MH24" i="5" s="1"/>
  <c r="LZ24" i="5"/>
  <c r="MA24" i="5" s="1"/>
  <c r="LV24" i="5"/>
  <c r="LY24" i="5" s="1"/>
  <c r="LQ24" i="5"/>
  <c r="LR24" i="5" s="1"/>
  <c r="LM24" i="5"/>
  <c r="LP24" i="5" s="1"/>
  <c r="LG24" i="5"/>
  <c r="LH24" i="5" s="1"/>
  <c r="LC24" i="5"/>
  <c r="LF24" i="5" s="1"/>
  <c r="KX24" i="5"/>
  <c r="KY24" i="5" s="1"/>
  <c r="KT24" i="5"/>
  <c r="KW24" i="5" s="1"/>
  <c r="KO24" i="5"/>
  <c r="KP24" i="5" s="1"/>
  <c r="KK24" i="5"/>
  <c r="KN24" i="5" s="1"/>
  <c r="KF24" i="5"/>
  <c r="KG24" i="5" s="1"/>
  <c r="KB24" i="5"/>
  <c r="KE24" i="5" s="1"/>
  <c r="JW24" i="5"/>
  <c r="JX24" i="5" s="1"/>
  <c r="JS24" i="5"/>
  <c r="JV24" i="5" s="1"/>
  <c r="JN24" i="5"/>
  <c r="JO24" i="5" s="1"/>
  <c r="JJ24" i="5"/>
  <c r="JM24" i="5" s="1"/>
  <c r="JE24" i="5"/>
  <c r="JF24" i="5" s="1"/>
  <c r="JA24" i="5"/>
  <c r="JD24" i="5" s="1"/>
  <c r="IV24" i="5"/>
  <c r="IW24" i="5" s="1"/>
  <c r="IR24" i="5"/>
  <c r="IU24" i="5" s="1"/>
  <c r="IM24" i="5"/>
  <c r="IN24" i="5" s="1"/>
  <c r="II24" i="5"/>
  <c r="IL24" i="5" s="1"/>
  <c r="ID24" i="5"/>
  <c r="IE24" i="5" s="1"/>
  <c r="HZ24" i="5"/>
  <c r="IC24" i="5" s="1"/>
  <c r="HU24" i="5"/>
  <c r="HV24" i="5" s="1"/>
  <c r="HQ24" i="5"/>
  <c r="HT24" i="5" s="1"/>
  <c r="HL24" i="5"/>
  <c r="HM24" i="5" s="1"/>
  <c r="HH24" i="5"/>
  <c r="HK24" i="5" s="1"/>
  <c r="HC24" i="5"/>
  <c r="HD24" i="5" s="1"/>
  <c r="GY24" i="5"/>
  <c r="HB24" i="5" s="1"/>
  <c r="GT24" i="5"/>
  <c r="GU24" i="5" s="1"/>
  <c r="GP24" i="5"/>
  <c r="GS24" i="5" s="1"/>
  <c r="GK24" i="5"/>
  <c r="GL24" i="5" s="1"/>
  <c r="GG24" i="5"/>
  <c r="GJ24" i="5" s="1"/>
  <c r="GB24" i="5"/>
  <c r="GC24" i="5" s="1"/>
  <c r="FX24" i="5"/>
  <c r="GA24" i="5" s="1"/>
  <c r="FS24" i="5"/>
  <c r="FT24" i="5" s="1"/>
  <c r="FO24" i="5"/>
  <c r="FR24" i="5" s="1"/>
  <c r="FJ24" i="5"/>
  <c r="FK24" i="5" s="1"/>
  <c r="FF24" i="5"/>
  <c r="FI24" i="5" s="1"/>
  <c r="FA24" i="5"/>
  <c r="FB24" i="5" s="1"/>
  <c r="EW24" i="5"/>
  <c r="EZ24" i="5" s="1"/>
  <c r="ER24" i="5"/>
  <c r="ES24" i="5" s="1"/>
  <c r="EN24" i="5"/>
  <c r="EQ24" i="5" s="1"/>
  <c r="EI24" i="5"/>
  <c r="EJ24" i="5" s="1"/>
  <c r="EE24" i="5"/>
  <c r="EH24" i="5" s="1"/>
  <c r="DZ24" i="5"/>
  <c r="EA24" i="5" s="1"/>
  <c r="DV24" i="5"/>
  <c r="DY24" i="5" s="1"/>
  <c r="DQ24" i="5"/>
  <c r="DR24" i="5" s="1"/>
  <c r="DM24" i="5"/>
  <c r="DP24" i="5" s="1"/>
  <c r="DH24" i="5"/>
  <c r="DI24" i="5" s="1"/>
  <c r="DD24" i="5"/>
  <c r="DG24" i="5" s="1"/>
  <c r="CY24" i="5"/>
  <c r="CZ24" i="5" s="1"/>
  <c r="CU24" i="5"/>
  <c r="CX24" i="5" s="1"/>
  <c r="CP24" i="5"/>
  <c r="CQ24" i="5" s="1"/>
  <c r="CL24" i="5"/>
  <c r="CO24" i="5" s="1"/>
  <c r="CD24" i="5"/>
  <c r="CG24" i="5" s="1"/>
  <c r="BV24" i="5"/>
  <c r="BY24" i="5" s="1"/>
  <c r="BQ24" i="5"/>
  <c r="BR24" i="5" s="1"/>
  <c r="BM24" i="5"/>
  <c r="BP24" i="5" s="1"/>
  <c r="BH24" i="5"/>
  <c r="BI24" i="5" s="1"/>
  <c r="BD24" i="5"/>
  <c r="BG24" i="5" s="1"/>
  <c r="AY24" i="5"/>
  <c r="AZ24" i="5" s="1"/>
  <c r="AU24" i="5"/>
  <c r="AX24" i="5" s="1"/>
  <c r="AP24" i="5"/>
  <c r="AQ24" i="5" s="1"/>
  <c r="AL24" i="5"/>
  <c r="AO24" i="5" s="1"/>
  <c r="AG24" i="5"/>
  <c r="AH24" i="5" s="1"/>
  <c r="AD24" i="5"/>
  <c r="Y24" i="5"/>
  <c r="Z24" i="5" s="1"/>
  <c r="V24" i="5"/>
  <c r="Q24" i="5"/>
  <c r="R24" i="5" s="1"/>
  <c r="M24" i="5"/>
  <c r="P24" i="5" s="1"/>
  <c r="H24" i="5"/>
  <c r="I24" i="5" s="1"/>
  <c r="D24" i="5"/>
  <c r="G24" i="5" s="1"/>
  <c r="VU23" i="5"/>
  <c r="VV23" i="5" s="1"/>
  <c r="VQ23" i="5"/>
  <c r="VT23" i="5" s="1"/>
  <c r="VL23" i="5"/>
  <c r="VM23" i="5" s="1"/>
  <c r="VH23" i="5"/>
  <c r="VK23" i="5" s="1"/>
  <c r="VC23" i="5"/>
  <c r="VD23" i="5" s="1"/>
  <c r="UY23" i="5"/>
  <c r="VB23" i="5" s="1"/>
  <c r="UT23" i="5"/>
  <c r="UU23" i="5" s="1"/>
  <c r="UP23" i="5"/>
  <c r="US23" i="5" s="1"/>
  <c r="UI23" i="5"/>
  <c r="UL23" i="5" s="1"/>
  <c r="UD23" i="5"/>
  <c r="UE23" i="5" s="1"/>
  <c r="TZ23" i="5"/>
  <c r="UC23" i="5" s="1"/>
  <c r="TS23" i="5"/>
  <c r="TV23" i="5" s="1"/>
  <c r="TN23" i="5"/>
  <c r="TO23" i="5" s="1"/>
  <c r="TJ23" i="5"/>
  <c r="TM23" i="5" s="1"/>
  <c r="TE23" i="5"/>
  <c r="TF23" i="5" s="1"/>
  <c r="TA23" i="5"/>
  <c r="TD23" i="5" s="1"/>
  <c r="SV23" i="5"/>
  <c r="SW23" i="5" s="1"/>
  <c r="SR23" i="5"/>
  <c r="SU23" i="5" s="1"/>
  <c r="SM23" i="5"/>
  <c r="SN23" i="5" s="1"/>
  <c r="SI23" i="5"/>
  <c r="SL23" i="5" s="1"/>
  <c r="SD23" i="5"/>
  <c r="SE23" i="5" s="1"/>
  <c r="RZ23" i="5"/>
  <c r="SC23" i="5" s="1"/>
  <c r="RU23" i="5"/>
  <c r="RV23" i="5" s="1"/>
  <c r="RQ23" i="5"/>
  <c r="RT23" i="5" s="1"/>
  <c r="RL23" i="5"/>
  <c r="RM23" i="5" s="1"/>
  <c r="RH23" i="5"/>
  <c r="RK23" i="5" s="1"/>
  <c r="RC23" i="5"/>
  <c r="RD23" i="5" s="1"/>
  <c r="QY23" i="5"/>
  <c r="RB23" i="5" s="1"/>
  <c r="QT23" i="5"/>
  <c r="QU23" i="5" s="1"/>
  <c r="QP23" i="5"/>
  <c r="QS23" i="5" s="1"/>
  <c r="QK23" i="5"/>
  <c r="QL23" i="5" s="1"/>
  <c r="QG23" i="5"/>
  <c r="QJ23" i="5" s="1"/>
  <c r="QB23" i="5"/>
  <c r="QC23" i="5" s="1"/>
  <c r="PX23" i="5"/>
  <c r="QA23" i="5" s="1"/>
  <c r="PQ23" i="5"/>
  <c r="PT23" i="5" s="1"/>
  <c r="PL23" i="5"/>
  <c r="PM23" i="5" s="1"/>
  <c r="PH23" i="5"/>
  <c r="PK23" i="5" s="1"/>
  <c r="PC23" i="5"/>
  <c r="PD23" i="5" s="1"/>
  <c r="OY23" i="5"/>
  <c r="PB23" i="5" s="1"/>
  <c r="OT23" i="5"/>
  <c r="OU23" i="5" s="1"/>
  <c r="OP23" i="5"/>
  <c r="OS23" i="5" s="1"/>
  <c r="OK23" i="5"/>
  <c r="OL23" i="5" s="1"/>
  <c r="OG23" i="5"/>
  <c r="OJ23" i="5" s="1"/>
  <c r="OB23" i="5"/>
  <c r="OC23" i="5" s="1"/>
  <c r="NX23" i="5"/>
  <c r="OA23" i="5" s="1"/>
  <c r="NS23" i="5"/>
  <c r="NT23" i="5" s="1"/>
  <c r="NO23" i="5"/>
  <c r="NR23" i="5" s="1"/>
  <c r="NJ23" i="5"/>
  <c r="NK23" i="5" s="1"/>
  <c r="NF23" i="5"/>
  <c r="NI23" i="5" s="1"/>
  <c r="NA23" i="5"/>
  <c r="NB23" i="5" s="1"/>
  <c r="MW23" i="5"/>
  <c r="MZ23" i="5" s="1"/>
  <c r="MR23" i="5"/>
  <c r="MS23" i="5" s="1"/>
  <c r="MN23" i="5"/>
  <c r="MQ23" i="5" s="1"/>
  <c r="MI23" i="5"/>
  <c r="MJ23" i="5" s="1"/>
  <c r="ME23" i="5"/>
  <c r="MH23" i="5" s="1"/>
  <c r="LZ23" i="5"/>
  <c r="MA23" i="5" s="1"/>
  <c r="LV23" i="5"/>
  <c r="LY23" i="5" s="1"/>
  <c r="LQ23" i="5"/>
  <c r="LR23" i="5" s="1"/>
  <c r="LM23" i="5"/>
  <c r="LP23" i="5" s="1"/>
  <c r="LG23" i="5"/>
  <c r="LH23" i="5" s="1"/>
  <c r="LC23" i="5"/>
  <c r="LF23" i="5" s="1"/>
  <c r="KX23" i="5"/>
  <c r="KY23" i="5" s="1"/>
  <c r="KZ23" i="5" s="1"/>
  <c r="KT23" i="5"/>
  <c r="KW23" i="5" s="1"/>
  <c r="KO23" i="5"/>
  <c r="KP23" i="5" s="1"/>
  <c r="KK23" i="5"/>
  <c r="KN23" i="5" s="1"/>
  <c r="KF23" i="5"/>
  <c r="KG23" i="5" s="1"/>
  <c r="KB23" i="5"/>
  <c r="KE23" i="5" s="1"/>
  <c r="JW23" i="5"/>
  <c r="JX23" i="5" s="1"/>
  <c r="JS23" i="5"/>
  <c r="JV23" i="5" s="1"/>
  <c r="JN23" i="5"/>
  <c r="JO23" i="5" s="1"/>
  <c r="JJ23" i="5"/>
  <c r="JM23" i="5" s="1"/>
  <c r="JE23" i="5"/>
  <c r="JF23" i="5" s="1"/>
  <c r="JA23" i="5"/>
  <c r="JD23" i="5" s="1"/>
  <c r="IV23" i="5"/>
  <c r="IW23" i="5" s="1"/>
  <c r="IR23" i="5"/>
  <c r="IU23" i="5" s="1"/>
  <c r="IM23" i="5"/>
  <c r="IN23" i="5" s="1"/>
  <c r="II23" i="5"/>
  <c r="IL23" i="5" s="1"/>
  <c r="ID23" i="5"/>
  <c r="IE23" i="5" s="1"/>
  <c r="HZ23" i="5"/>
  <c r="IC23" i="5" s="1"/>
  <c r="HU23" i="5"/>
  <c r="HV23" i="5" s="1"/>
  <c r="HQ23" i="5"/>
  <c r="HT23" i="5" s="1"/>
  <c r="HL23" i="5"/>
  <c r="HM23" i="5" s="1"/>
  <c r="HH23" i="5"/>
  <c r="HK23" i="5" s="1"/>
  <c r="HC23" i="5"/>
  <c r="HD23" i="5" s="1"/>
  <c r="GY23" i="5"/>
  <c r="HB23" i="5" s="1"/>
  <c r="GT23" i="5"/>
  <c r="GU23" i="5" s="1"/>
  <c r="GP23" i="5"/>
  <c r="GS23" i="5" s="1"/>
  <c r="GK23" i="5"/>
  <c r="GL23" i="5" s="1"/>
  <c r="GG23" i="5"/>
  <c r="GJ23" i="5" s="1"/>
  <c r="GB23" i="5"/>
  <c r="GC23" i="5" s="1"/>
  <c r="FX23" i="5"/>
  <c r="GA23" i="5" s="1"/>
  <c r="FS23" i="5"/>
  <c r="FT23" i="5" s="1"/>
  <c r="FO23" i="5"/>
  <c r="FR23" i="5" s="1"/>
  <c r="FJ23" i="5"/>
  <c r="FK23" i="5" s="1"/>
  <c r="FF23" i="5"/>
  <c r="FI23" i="5" s="1"/>
  <c r="FA23" i="5"/>
  <c r="FB23" i="5" s="1"/>
  <c r="EW23" i="5"/>
  <c r="EZ23" i="5" s="1"/>
  <c r="ER23" i="5"/>
  <c r="ES23" i="5" s="1"/>
  <c r="EN23" i="5"/>
  <c r="EQ23" i="5" s="1"/>
  <c r="EI23" i="5"/>
  <c r="EJ23" i="5" s="1"/>
  <c r="EE23" i="5"/>
  <c r="EH23" i="5" s="1"/>
  <c r="DZ23" i="5"/>
  <c r="EA23" i="5" s="1"/>
  <c r="DV23" i="5"/>
  <c r="DY23" i="5" s="1"/>
  <c r="DQ23" i="5"/>
  <c r="DR23" i="5" s="1"/>
  <c r="DM23" i="5"/>
  <c r="DP23" i="5" s="1"/>
  <c r="DH23" i="5"/>
  <c r="DI23" i="5" s="1"/>
  <c r="DD23" i="5"/>
  <c r="DG23" i="5" s="1"/>
  <c r="CY23" i="5"/>
  <c r="CZ23" i="5" s="1"/>
  <c r="CU23" i="5"/>
  <c r="CX23" i="5" s="1"/>
  <c r="CP23" i="5"/>
  <c r="CQ23" i="5" s="1"/>
  <c r="CL23" i="5"/>
  <c r="CO23" i="5" s="1"/>
  <c r="CD23" i="5"/>
  <c r="CG23" i="5" s="1"/>
  <c r="BV23" i="5"/>
  <c r="BY23" i="5" s="1"/>
  <c r="BQ23" i="5"/>
  <c r="BR23" i="5" s="1"/>
  <c r="BM23" i="5"/>
  <c r="BP23" i="5" s="1"/>
  <c r="BH23" i="5"/>
  <c r="BI23" i="5" s="1"/>
  <c r="BD23" i="5"/>
  <c r="BG23" i="5" s="1"/>
  <c r="AY23" i="5"/>
  <c r="AZ23" i="5" s="1"/>
  <c r="AU23" i="5"/>
  <c r="AX23" i="5" s="1"/>
  <c r="AP23" i="5"/>
  <c r="AQ23" i="5" s="1"/>
  <c r="AL23" i="5"/>
  <c r="AO23" i="5" s="1"/>
  <c r="AG23" i="5"/>
  <c r="AH23" i="5" s="1"/>
  <c r="AD23" i="5"/>
  <c r="Y23" i="5"/>
  <c r="Z23" i="5" s="1"/>
  <c r="V23" i="5"/>
  <c r="Q23" i="5"/>
  <c r="R23" i="5" s="1"/>
  <c r="M23" i="5"/>
  <c r="P23" i="5" s="1"/>
  <c r="H23" i="5"/>
  <c r="I23" i="5" s="1"/>
  <c r="D23" i="5"/>
  <c r="G23" i="5" s="1"/>
  <c r="VU22" i="5"/>
  <c r="VV22" i="5" s="1"/>
  <c r="VQ22" i="5"/>
  <c r="VT22" i="5" s="1"/>
  <c r="VL22" i="5"/>
  <c r="VM22" i="5" s="1"/>
  <c r="VH22" i="5"/>
  <c r="VK22" i="5" s="1"/>
  <c r="VC22" i="5"/>
  <c r="VD22" i="5" s="1"/>
  <c r="UY22" i="5"/>
  <c r="VB22" i="5" s="1"/>
  <c r="UT22" i="5"/>
  <c r="UU22" i="5" s="1"/>
  <c r="UP22" i="5"/>
  <c r="US22" i="5" s="1"/>
  <c r="UI22" i="5"/>
  <c r="UL22" i="5" s="1"/>
  <c r="UD22" i="5"/>
  <c r="UE22" i="5" s="1"/>
  <c r="TZ22" i="5"/>
  <c r="UC22" i="5" s="1"/>
  <c r="TS22" i="5"/>
  <c r="TV22" i="5" s="1"/>
  <c r="TN22" i="5"/>
  <c r="TO22" i="5" s="1"/>
  <c r="TJ22" i="5"/>
  <c r="TM22" i="5" s="1"/>
  <c r="TE22" i="5"/>
  <c r="TF22" i="5" s="1"/>
  <c r="TA22" i="5"/>
  <c r="TD22" i="5" s="1"/>
  <c r="SV22" i="5"/>
  <c r="SW22" i="5" s="1"/>
  <c r="SR22" i="5"/>
  <c r="SU22" i="5" s="1"/>
  <c r="SM22" i="5"/>
  <c r="SN22" i="5" s="1"/>
  <c r="SI22" i="5"/>
  <c r="SL22" i="5" s="1"/>
  <c r="SD22" i="5"/>
  <c r="SE22" i="5" s="1"/>
  <c r="RZ22" i="5"/>
  <c r="SC22" i="5" s="1"/>
  <c r="RU22" i="5"/>
  <c r="RV22" i="5" s="1"/>
  <c r="RQ22" i="5"/>
  <c r="RT22" i="5" s="1"/>
  <c r="RL22" i="5"/>
  <c r="RM22" i="5" s="1"/>
  <c r="RH22" i="5"/>
  <c r="RK22" i="5" s="1"/>
  <c r="RD22" i="5"/>
  <c r="QY22" i="5"/>
  <c r="RB22" i="5" s="1"/>
  <c r="QT22" i="5"/>
  <c r="QU22" i="5" s="1"/>
  <c r="QP22" i="5"/>
  <c r="QS22" i="5" s="1"/>
  <c r="QK22" i="5"/>
  <c r="QL22" i="5" s="1"/>
  <c r="QG22" i="5"/>
  <c r="QJ22" i="5" s="1"/>
  <c r="QB22" i="5"/>
  <c r="QC22" i="5" s="1"/>
  <c r="PX22" i="5"/>
  <c r="QA22" i="5" s="1"/>
  <c r="PQ22" i="5"/>
  <c r="PT22" i="5" s="1"/>
  <c r="PL22" i="5"/>
  <c r="PM22" i="5" s="1"/>
  <c r="PH22" i="5"/>
  <c r="PK22" i="5" s="1"/>
  <c r="PC22" i="5"/>
  <c r="PD22" i="5" s="1"/>
  <c r="OY22" i="5"/>
  <c r="PB22" i="5" s="1"/>
  <c r="OT22" i="5"/>
  <c r="OU22" i="5" s="1"/>
  <c r="OP22" i="5"/>
  <c r="OS22" i="5" s="1"/>
  <c r="OK22" i="5"/>
  <c r="OL22" i="5" s="1"/>
  <c r="OG22" i="5"/>
  <c r="OJ22" i="5" s="1"/>
  <c r="OB22" i="5"/>
  <c r="OC22" i="5" s="1"/>
  <c r="NX22" i="5"/>
  <c r="OA22" i="5" s="1"/>
  <c r="NS22" i="5"/>
  <c r="NT22" i="5" s="1"/>
  <c r="NO22" i="5"/>
  <c r="NR22" i="5" s="1"/>
  <c r="NJ22" i="5"/>
  <c r="NK22" i="5" s="1"/>
  <c r="NF22" i="5"/>
  <c r="NI22" i="5" s="1"/>
  <c r="NA22" i="5"/>
  <c r="NB22" i="5" s="1"/>
  <c r="MW22" i="5"/>
  <c r="MZ22" i="5" s="1"/>
  <c r="MR22" i="5"/>
  <c r="MS22" i="5" s="1"/>
  <c r="MN22" i="5"/>
  <c r="MQ22" i="5" s="1"/>
  <c r="MI22" i="5"/>
  <c r="MJ22" i="5" s="1"/>
  <c r="ME22" i="5"/>
  <c r="MH22" i="5" s="1"/>
  <c r="LZ22" i="5"/>
  <c r="MA22" i="5" s="1"/>
  <c r="LV22" i="5"/>
  <c r="LY22" i="5" s="1"/>
  <c r="LQ22" i="5"/>
  <c r="LR22" i="5" s="1"/>
  <c r="LM22" i="5"/>
  <c r="LP22" i="5" s="1"/>
  <c r="LG22" i="5"/>
  <c r="LH22" i="5" s="1"/>
  <c r="LC22" i="5"/>
  <c r="LF22" i="5" s="1"/>
  <c r="KX22" i="5"/>
  <c r="KY22" i="5" s="1"/>
  <c r="KT22" i="5"/>
  <c r="KW22" i="5" s="1"/>
  <c r="KO22" i="5"/>
  <c r="KP22" i="5" s="1"/>
  <c r="KK22" i="5"/>
  <c r="KN22" i="5" s="1"/>
  <c r="KF22" i="5"/>
  <c r="KG22" i="5" s="1"/>
  <c r="KB22" i="5"/>
  <c r="KE22" i="5" s="1"/>
  <c r="JW22" i="5"/>
  <c r="JX22" i="5" s="1"/>
  <c r="JS22" i="5"/>
  <c r="JV22" i="5" s="1"/>
  <c r="JN22" i="5"/>
  <c r="JO22" i="5" s="1"/>
  <c r="JJ22" i="5"/>
  <c r="JM22" i="5" s="1"/>
  <c r="JE22" i="5"/>
  <c r="JF22" i="5" s="1"/>
  <c r="JA22" i="5"/>
  <c r="JD22" i="5" s="1"/>
  <c r="IV22" i="5"/>
  <c r="IW22" i="5" s="1"/>
  <c r="IR22" i="5"/>
  <c r="IU22" i="5" s="1"/>
  <c r="IM22" i="5"/>
  <c r="IN22" i="5" s="1"/>
  <c r="II22" i="5"/>
  <c r="IL22" i="5" s="1"/>
  <c r="ID22" i="5"/>
  <c r="IE22" i="5" s="1"/>
  <c r="HZ22" i="5"/>
  <c r="IC22" i="5" s="1"/>
  <c r="HU22" i="5"/>
  <c r="HV22" i="5" s="1"/>
  <c r="HQ22" i="5"/>
  <c r="HT22" i="5" s="1"/>
  <c r="HL22" i="5"/>
  <c r="HM22" i="5" s="1"/>
  <c r="HH22" i="5"/>
  <c r="HK22" i="5" s="1"/>
  <c r="HC22" i="5"/>
  <c r="HD22" i="5" s="1"/>
  <c r="GY22" i="5"/>
  <c r="HB22" i="5" s="1"/>
  <c r="GT22" i="5"/>
  <c r="GU22" i="5" s="1"/>
  <c r="GP22" i="5"/>
  <c r="GS22" i="5" s="1"/>
  <c r="GK22" i="5"/>
  <c r="GL22" i="5" s="1"/>
  <c r="GG22" i="5"/>
  <c r="GJ22" i="5" s="1"/>
  <c r="GB22" i="5"/>
  <c r="GC22" i="5" s="1"/>
  <c r="FX22" i="5"/>
  <c r="GA22" i="5" s="1"/>
  <c r="FS22" i="5"/>
  <c r="FT22" i="5" s="1"/>
  <c r="FO22" i="5"/>
  <c r="FR22" i="5" s="1"/>
  <c r="FJ22" i="5"/>
  <c r="FK22" i="5" s="1"/>
  <c r="FF22" i="5"/>
  <c r="FI22" i="5" s="1"/>
  <c r="FA22" i="5"/>
  <c r="FB22" i="5" s="1"/>
  <c r="EW22" i="5"/>
  <c r="EZ22" i="5" s="1"/>
  <c r="ER22" i="5"/>
  <c r="ES22" i="5" s="1"/>
  <c r="EN22" i="5"/>
  <c r="EQ22" i="5" s="1"/>
  <c r="EI22" i="5"/>
  <c r="EJ22" i="5" s="1"/>
  <c r="EE22" i="5"/>
  <c r="EH22" i="5" s="1"/>
  <c r="DZ22" i="5"/>
  <c r="EA22" i="5" s="1"/>
  <c r="DV22" i="5"/>
  <c r="DY22" i="5" s="1"/>
  <c r="DQ22" i="5"/>
  <c r="DR22" i="5" s="1"/>
  <c r="DM22" i="5"/>
  <c r="DP22" i="5" s="1"/>
  <c r="DH22" i="5"/>
  <c r="DI22" i="5" s="1"/>
  <c r="DD22" i="5"/>
  <c r="DG22" i="5" s="1"/>
  <c r="CY22" i="5"/>
  <c r="CZ22" i="5" s="1"/>
  <c r="CU22" i="5"/>
  <c r="CX22" i="5" s="1"/>
  <c r="CP22" i="5"/>
  <c r="CQ22" i="5" s="1"/>
  <c r="CL22" i="5"/>
  <c r="CO22" i="5" s="1"/>
  <c r="CD22" i="5"/>
  <c r="CG22" i="5" s="1"/>
  <c r="BV22" i="5"/>
  <c r="BY22" i="5" s="1"/>
  <c r="BQ22" i="5"/>
  <c r="BR22" i="5" s="1"/>
  <c r="BM22" i="5"/>
  <c r="BP22" i="5" s="1"/>
  <c r="BH22" i="5"/>
  <c r="BI22" i="5" s="1"/>
  <c r="BD22" i="5"/>
  <c r="BG22" i="5" s="1"/>
  <c r="AY22" i="5"/>
  <c r="AZ22" i="5" s="1"/>
  <c r="AU22" i="5"/>
  <c r="AX22" i="5" s="1"/>
  <c r="AP22" i="5"/>
  <c r="AQ22" i="5" s="1"/>
  <c r="AL22" i="5"/>
  <c r="AO22" i="5" s="1"/>
  <c r="AG22" i="5"/>
  <c r="AH22" i="5" s="1"/>
  <c r="AD22" i="5"/>
  <c r="Y22" i="5"/>
  <c r="Z22" i="5" s="1"/>
  <c r="V22" i="5"/>
  <c r="Q22" i="5"/>
  <c r="R22" i="5" s="1"/>
  <c r="M22" i="5"/>
  <c r="P22" i="5" s="1"/>
  <c r="H22" i="5"/>
  <c r="I22" i="5" s="1"/>
  <c r="D22" i="5"/>
  <c r="G22" i="5" s="1"/>
  <c r="VU21" i="5"/>
  <c r="VV21" i="5" s="1"/>
  <c r="VQ21" i="5"/>
  <c r="VT21" i="5" s="1"/>
  <c r="VL21" i="5"/>
  <c r="VM21" i="5" s="1"/>
  <c r="VH21" i="5"/>
  <c r="VK21" i="5" s="1"/>
  <c r="VC21" i="5"/>
  <c r="VD21" i="5" s="1"/>
  <c r="UY21" i="5"/>
  <c r="VB21" i="5" s="1"/>
  <c r="UT21" i="5"/>
  <c r="UU21" i="5" s="1"/>
  <c r="UP21" i="5"/>
  <c r="US21" i="5" s="1"/>
  <c r="UI21" i="5"/>
  <c r="UL21" i="5" s="1"/>
  <c r="UD21" i="5"/>
  <c r="UE21" i="5" s="1"/>
  <c r="TZ21" i="5"/>
  <c r="UC21" i="5" s="1"/>
  <c r="TS21" i="5"/>
  <c r="TV21" i="5" s="1"/>
  <c r="TN21" i="5"/>
  <c r="TO21" i="5" s="1"/>
  <c r="TJ21" i="5"/>
  <c r="TM21" i="5" s="1"/>
  <c r="TE21" i="5"/>
  <c r="TF21" i="5" s="1"/>
  <c r="TA21" i="5"/>
  <c r="TD21" i="5" s="1"/>
  <c r="SV21" i="5"/>
  <c r="SW21" i="5" s="1"/>
  <c r="SR21" i="5"/>
  <c r="SU21" i="5" s="1"/>
  <c r="SM21" i="5"/>
  <c r="SN21" i="5" s="1"/>
  <c r="SI21" i="5"/>
  <c r="SL21" i="5" s="1"/>
  <c r="SD21" i="5"/>
  <c r="SE21" i="5" s="1"/>
  <c r="RZ21" i="5"/>
  <c r="SC21" i="5" s="1"/>
  <c r="RU21" i="5"/>
  <c r="RV21" i="5" s="1"/>
  <c r="RQ21" i="5"/>
  <c r="RT21" i="5" s="1"/>
  <c r="RL21" i="5"/>
  <c r="RM21" i="5" s="1"/>
  <c r="RH21" i="5"/>
  <c r="RK21" i="5" s="1"/>
  <c r="RC21" i="5"/>
  <c r="RD21" i="5" s="1"/>
  <c r="QY21" i="5"/>
  <c r="RB21" i="5" s="1"/>
  <c r="QT21" i="5"/>
  <c r="QU21" i="5" s="1"/>
  <c r="QP21" i="5"/>
  <c r="QS21" i="5" s="1"/>
  <c r="QK21" i="5"/>
  <c r="QL21" i="5" s="1"/>
  <c r="QG21" i="5"/>
  <c r="QJ21" i="5" s="1"/>
  <c r="QB21" i="5"/>
  <c r="QC21" i="5" s="1"/>
  <c r="PX21" i="5"/>
  <c r="QA21" i="5" s="1"/>
  <c r="PQ21" i="5"/>
  <c r="PT21" i="5" s="1"/>
  <c r="PL21" i="5"/>
  <c r="PM21" i="5" s="1"/>
  <c r="PH21" i="5"/>
  <c r="PK21" i="5" s="1"/>
  <c r="PC21" i="5"/>
  <c r="PD21" i="5" s="1"/>
  <c r="OY21" i="5"/>
  <c r="PB21" i="5" s="1"/>
  <c r="OT21" i="5"/>
  <c r="OU21" i="5" s="1"/>
  <c r="OP21" i="5"/>
  <c r="OS21" i="5" s="1"/>
  <c r="OK21" i="5"/>
  <c r="OL21" i="5" s="1"/>
  <c r="OG21" i="5"/>
  <c r="OJ21" i="5" s="1"/>
  <c r="OB21" i="5"/>
  <c r="OC21" i="5" s="1"/>
  <c r="NX21" i="5"/>
  <c r="OA21" i="5" s="1"/>
  <c r="NS21" i="5"/>
  <c r="NT21" i="5" s="1"/>
  <c r="NO21" i="5"/>
  <c r="NR21" i="5" s="1"/>
  <c r="NJ21" i="5"/>
  <c r="NK21" i="5" s="1"/>
  <c r="NF21" i="5"/>
  <c r="NI21" i="5" s="1"/>
  <c r="NA21" i="5"/>
  <c r="NB21" i="5" s="1"/>
  <c r="MW21" i="5"/>
  <c r="MZ21" i="5" s="1"/>
  <c r="MR21" i="5"/>
  <c r="MS21" i="5" s="1"/>
  <c r="MN21" i="5"/>
  <c r="MQ21" i="5" s="1"/>
  <c r="MI21" i="5"/>
  <c r="MJ21" i="5" s="1"/>
  <c r="ME21" i="5"/>
  <c r="MH21" i="5" s="1"/>
  <c r="LZ21" i="5"/>
  <c r="MA21" i="5" s="1"/>
  <c r="LV21" i="5"/>
  <c r="LY21" i="5" s="1"/>
  <c r="LQ21" i="5"/>
  <c r="LR21" i="5" s="1"/>
  <c r="LM21" i="5"/>
  <c r="LP21" i="5" s="1"/>
  <c r="LG21" i="5"/>
  <c r="LH21" i="5" s="1"/>
  <c r="LC21" i="5"/>
  <c r="LF21" i="5" s="1"/>
  <c r="KX21" i="5"/>
  <c r="KY21" i="5" s="1"/>
  <c r="KT21" i="5"/>
  <c r="KW21" i="5" s="1"/>
  <c r="KO21" i="5"/>
  <c r="KP21" i="5" s="1"/>
  <c r="KK21" i="5"/>
  <c r="KN21" i="5" s="1"/>
  <c r="KF21" i="5"/>
  <c r="KG21" i="5" s="1"/>
  <c r="KB21" i="5"/>
  <c r="KE21" i="5" s="1"/>
  <c r="JW21" i="5"/>
  <c r="JX21" i="5" s="1"/>
  <c r="JS21" i="5"/>
  <c r="JV21" i="5" s="1"/>
  <c r="JN21" i="5"/>
  <c r="JO21" i="5" s="1"/>
  <c r="JJ21" i="5"/>
  <c r="JM21" i="5" s="1"/>
  <c r="JE21" i="5"/>
  <c r="JF21" i="5" s="1"/>
  <c r="JA21" i="5"/>
  <c r="JD21" i="5" s="1"/>
  <c r="IV21" i="5"/>
  <c r="IW21" i="5" s="1"/>
  <c r="IR21" i="5"/>
  <c r="IU21" i="5" s="1"/>
  <c r="IM21" i="5"/>
  <c r="IN21" i="5" s="1"/>
  <c r="II21" i="5"/>
  <c r="IL21" i="5" s="1"/>
  <c r="ID21" i="5"/>
  <c r="IE21" i="5" s="1"/>
  <c r="HZ21" i="5"/>
  <c r="IC21" i="5" s="1"/>
  <c r="HU21" i="5"/>
  <c r="HV21" i="5" s="1"/>
  <c r="HQ21" i="5"/>
  <c r="HT21" i="5" s="1"/>
  <c r="HL21" i="5"/>
  <c r="HM21" i="5" s="1"/>
  <c r="HH21" i="5"/>
  <c r="HK21" i="5" s="1"/>
  <c r="HC21" i="5"/>
  <c r="HD21" i="5" s="1"/>
  <c r="GY21" i="5"/>
  <c r="HB21" i="5" s="1"/>
  <c r="GT21" i="5"/>
  <c r="GU21" i="5" s="1"/>
  <c r="GP21" i="5"/>
  <c r="GS21" i="5" s="1"/>
  <c r="GK21" i="5"/>
  <c r="GL21" i="5" s="1"/>
  <c r="GG21" i="5"/>
  <c r="GJ21" i="5" s="1"/>
  <c r="GB21" i="5"/>
  <c r="GC21" i="5" s="1"/>
  <c r="FX21" i="5"/>
  <c r="GA21" i="5" s="1"/>
  <c r="FS21" i="5"/>
  <c r="FT21" i="5" s="1"/>
  <c r="FO21" i="5"/>
  <c r="FR21" i="5" s="1"/>
  <c r="FJ21" i="5"/>
  <c r="FK21" i="5" s="1"/>
  <c r="FF21" i="5"/>
  <c r="FI21" i="5" s="1"/>
  <c r="FA21" i="5"/>
  <c r="FB21" i="5" s="1"/>
  <c r="EW21" i="5"/>
  <c r="EZ21" i="5" s="1"/>
  <c r="ER21" i="5"/>
  <c r="ES21" i="5" s="1"/>
  <c r="EN21" i="5"/>
  <c r="EQ21" i="5" s="1"/>
  <c r="EI21" i="5"/>
  <c r="EJ21" i="5" s="1"/>
  <c r="EE21" i="5"/>
  <c r="EH21" i="5" s="1"/>
  <c r="DZ21" i="5"/>
  <c r="EA21" i="5" s="1"/>
  <c r="DV21" i="5"/>
  <c r="DY21" i="5" s="1"/>
  <c r="DQ21" i="5"/>
  <c r="DR21" i="5" s="1"/>
  <c r="DM21" i="5"/>
  <c r="DP21" i="5" s="1"/>
  <c r="DH21" i="5"/>
  <c r="DI21" i="5" s="1"/>
  <c r="DD21" i="5"/>
  <c r="DG21" i="5" s="1"/>
  <c r="CY21" i="5"/>
  <c r="CZ21" i="5" s="1"/>
  <c r="CU21" i="5"/>
  <c r="CX21" i="5" s="1"/>
  <c r="CP21" i="5"/>
  <c r="CQ21" i="5" s="1"/>
  <c r="CL21" i="5"/>
  <c r="CO21" i="5" s="1"/>
  <c r="CD21" i="5"/>
  <c r="CG21" i="5" s="1"/>
  <c r="BV21" i="5"/>
  <c r="BY21" i="5" s="1"/>
  <c r="BQ21" i="5"/>
  <c r="BR21" i="5" s="1"/>
  <c r="BM21" i="5"/>
  <c r="BP21" i="5" s="1"/>
  <c r="BH21" i="5"/>
  <c r="BI21" i="5" s="1"/>
  <c r="BD21" i="5"/>
  <c r="BG21" i="5" s="1"/>
  <c r="AY21" i="5"/>
  <c r="AZ21" i="5" s="1"/>
  <c r="AU21" i="5"/>
  <c r="AX21" i="5" s="1"/>
  <c r="AP21" i="5"/>
  <c r="AQ21" i="5" s="1"/>
  <c r="AL21" i="5"/>
  <c r="AO21" i="5" s="1"/>
  <c r="AG21" i="5"/>
  <c r="AH21" i="5" s="1"/>
  <c r="AD21" i="5"/>
  <c r="Y21" i="5"/>
  <c r="Z21" i="5" s="1"/>
  <c r="V21" i="5"/>
  <c r="Q21" i="5"/>
  <c r="R21" i="5" s="1"/>
  <c r="M21" i="5"/>
  <c r="P21" i="5" s="1"/>
  <c r="H21" i="5"/>
  <c r="I21" i="5" s="1"/>
  <c r="D21" i="5"/>
  <c r="G21" i="5" s="1"/>
  <c r="VU20" i="5"/>
  <c r="VV20" i="5" s="1"/>
  <c r="VQ20" i="5"/>
  <c r="VT20" i="5" s="1"/>
  <c r="VL20" i="5"/>
  <c r="VM20" i="5" s="1"/>
  <c r="VH20" i="5"/>
  <c r="VK20" i="5" s="1"/>
  <c r="VC20" i="5"/>
  <c r="VD20" i="5" s="1"/>
  <c r="UY20" i="5"/>
  <c r="VB20" i="5" s="1"/>
  <c r="UT20" i="5"/>
  <c r="UU20" i="5" s="1"/>
  <c r="UP20" i="5"/>
  <c r="US20" i="5" s="1"/>
  <c r="UI20" i="5"/>
  <c r="UL20" i="5" s="1"/>
  <c r="UD20" i="5"/>
  <c r="UE20" i="5" s="1"/>
  <c r="TZ20" i="5"/>
  <c r="UC20" i="5" s="1"/>
  <c r="TS20" i="5"/>
  <c r="TV20" i="5" s="1"/>
  <c r="TN20" i="5"/>
  <c r="TO20" i="5" s="1"/>
  <c r="TJ20" i="5"/>
  <c r="TM20" i="5" s="1"/>
  <c r="TE20" i="5"/>
  <c r="TF20" i="5" s="1"/>
  <c r="TA20" i="5"/>
  <c r="TD20" i="5" s="1"/>
  <c r="SV20" i="5"/>
  <c r="SW20" i="5" s="1"/>
  <c r="SR20" i="5"/>
  <c r="SU20" i="5" s="1"/>
  <c r="SM20" i="5"/>
  <c r="SN20" i="5" s="1"/>
  <c r="SI20" i="5"/>
  <c r="SL20" i="5" s="1"/>
  <c r="SD20" i="5"/>
  <c r="SE20" i="5" s="1"/>
  <c r="RZ20" i="5"/>
  <c r="SC20" i="5" s="1"/>
  <c r="RU20" i="5"/>
  <c r="RV20" i="5" s="1"/>
  <c r="RQ20" i="5"/>
  <c r="RT20" i="5" s="1"/>
  <c r="RL20" i="5"/>
  <c r="RM20" i="5" s="1"/>
  <c r="RH20" i="5"/>
  <c r="RK20" i="5" s="1"/>
  <c r="RC20" i="5"/>
  <c r="RD20" i="5" s="1"/>
  <c r="QY20" i="5"/>
  <c r="RB20" i="5" s="1"/>
  <c r="QT20" i="5"/>
  <c r="QU20" i="5" s="1"/>
  <c r="QP20" i="5"/>
  <c r="QS20" i="5" s="1"/>
  <c r="QK20" i="5"/>
  <c r="QL20" i="5" s="1"/>
  <c r="QG20" i="5"/>
  <c r="QJ20" i="5" s="1"/>
  <c r="QB20" i="5"/>
  <c r="QC20" i="5" s="1"/>
  <c r="PX20" i="5"/>
  <c r="QA20" i="5" s="1"/>
  <c r="PQ20" i="5"/>
  <c r="PT20" i="5" s="1"/>
  <c r="PL20" i="5"/>
  <c r="PM20" i="5" s="1"/>
  <c r="PH20" i="5"/>
  <c r="PK20" i="5" s="1"/>
  <c r="PC20" i="5"/>
  <c r="PD20" i="5" s="1"/>
  <c r="OY20" i="5"/>
  <c r="PB20" i="5" s="1"/>
  <c r="OT20" i="5"/>
  <c r="OU20" i="5" s="1"/>
  <c r="OP20" i="5"/>
  <c r="OS20" i="5" s="1"/>
  <c r="OK20" i="5"/>
  <c r="OL20" i="5" s="1"/>
  <c r="OG20" i="5"/>
  <c r="OJ20" i="5" s="1"/>
  <c r="OB20" i="5"/>
  <c r="OC20" i="5" s="1"/>
  <c r="NX20" i="5"/>
  <c r="OA20" i="5" s="1"/>
  <c r="NS20" i="5"/>
  <c r="NT20" i="5" s="1"/>
  <c r="NO20" i="5"/>
  <c r="NR20" i="5" s="1"/>
  <c r="NJ20" i="5"/>
  <c r="NK20" i="5" s="1"/>
  <c r="NF20" i="5"/>
  <c r="NI20" i="5" s="1"/>
  <c r="NA20" i="5"/>
  <c r="NB20" i="5" s="1"/>
  <c r="MW20" i="5"/>
  <c r="MZ20" i="5" s="1"/>
  <c r="MR20" i="5"/>
  <c r="MS20" i="5" s="1"/>
  <c r="MN20" i="5"/>
  <c r="MQ20" i="5" s="1"/>
  <c r="MI20" i="5"/>
  <c r="MJ20" i="5" s="1"/>
  <c r="ME20" i="5"/>
  <c r="MH20" i="5" s="1"/>
  <c r="LZ20" i="5"/>
  <c r="MA20" i="5" s="1"/>
  <c r="LV20" i="5"/>
  <c r="LY20" i="5" s="1"/>
  <c r="LQ20" i="5"/>
  <c r="LR20" i="5" s="1"/>
  <c r="LM20" i="5"/>
  <c r="LP20" i="5" s="1"/>
  <c r="LG20" i="5"/>
  <c r="LH20" i="5" s="1"/>
  <c r="LC20" i="5"/>
  <c r="LF20" i="5" s="1"/>
  <c r="KX20" i="5"/>
  <c r="KY20" i="5" s="1"/>
  <c r="KT20" i="5"/>
  <c r="KW20" i="5" s="1"/>
  <c r="KO20" i="5"/>
  <c r="KP20" i="5" s="1"/>
  <c r="KK20" i="5"/>
  <c r="KN20" i="5" s="1"/>
  <c r="KF20" i="5"/>
  <c r="KG20" i="5" s="1"/>
  <c r="KB20" i="5"/>
  <c r="KE20" i="5" s="1"/>
  <c r="JW20" i="5"/>
  <c r="JX20" i="5" s="1"/>
  <c r="JS20" i="5"/>
  <c r="JV20" i="5" s="1"/>
  <c r="JN20" i="5"/>
  <c r="JO20" i="5" s="1"/>
  <c r="JJ20" i="5"/>
  <c r="JM20" i="5" s="1"/>
  <c r="JE20" i="5"/>
  <c r="JF20" i="5" s="1"/>
  <c r="JA20" i="5"/>
  <c r="JD20" i="5" s="1"/>
  <c r="IV20" i="5"/>
  <c r="IW20" i="5" s="1"/>
  <c r="IR20" i="5"/>
  <c r="IU20" i="5" s="1"/>
  <c r="IM20" i="5"/>
  <c r="IN20" i="5" s="1"/>
  <c r="II20" i="5"/>
  <c r="IL20" i="5" s="1"/>
  <c r="ID20" i="5"/>
  <c r="IE20" i="5" s="1"/>
  <c r="HZ20" i="5"/>
  <c r="IC20" i="5" s="1"/>
  <c r="HU20" i="5"/>
  <c r="HV20" i="5" s="1"/>
  <c r="HQ20" i="5"/>
  <c r="HT20" i="5" s="1"/>
  <c r="HL20" i="5"/>
  <c r="HM20" i="5" s="1"/>
  <c r="HH20" i="5"/>
  <c r="HK20" i="5" s="1"/>
  <c r="HC20" i="5"/>
  <c r="HD20" i="5" s="1"/>
  <c r="GY20" i="5"/>
  <c r="HB20" i="5" s="1"/>
  <c r="GT20" i="5"/>
  <c r="GU20" i="5" s="1"/>
  <c r="GP20" i="5"/>
  <c r="GS20" i="5" s="1"/>
  <c r="GK20" i="5"/>
  <c r="GL20" i="5" s="1"/>
  <c r="GG20" i="5"/>
  <c r="GJ20" i="5" s="1"/>
  <c r="GB20" i="5"/>
  <c r="GC20" i="5" s="1"/>
  <c r="FX20" i="5"/>
  <c r="GA20" i="5" s="1"/>
  <c r="FS20" i="5"/>
  <c r="FT20" i="5" s="1"/>
  <c r="FO20" i="5"/>
  <c r="FR20" i="5" s="1"/>
  <c r="FJ20" i="5"/>
  <c r="FK20" i="5" s="1"/>
  <c r="FF20" i="5"/>
  <c r="FI20" i="5" s="1"/>
  <c r="FA20" i="5"/>
  <c r="FB20" i="5" s="1"/>
  <c r="EW20" i="5"/>
  <c r="EZ20" i="5" s="1"/>
  <c r="ER20" i="5"/>
  <c r="ES20" i="5" s="1"/>
  <c r="EN20" i="5"/>
  <c r="EQ20" i="5" s="1"/>
  <c r="EI20" i="5"/>
  <c r="EJ20" i="5" s="1"/>
  <c r="EE20" i="5"/>
  <c r="EH20" i="5" s="1"/>
  <c r="DZ20" i="5"/>
  <c r="EA20" i="5" s="1"/>
  <c r="DV20" i="5"/>
  <c r="DY20" i="5" s="1"/>
  <c r="DQ20" i="5"/>
  <c r="DR20" i="5" s="1"/>
  <c r="DM20" i="5"/>
  <c r="DP20" i="5" s="1"/>
  <c r="DH20" i="5"/>
  <c r="DI20" i="5" s="1"/>
  <c r="DD20" i="5"/>
  <c r="DG20" i="5" s="1"/>
  <c r="CY20" i="5"/>
  <c r="CZ20" i="5" s="1"/>
  <c r="CU20" i="5"/>
  <c r="CX20" i="5" s="1"/>
  <c r="CP20" i="5"/>
  <c r="CQ20" i="5" s="1"/>
  <c r="CL20" i="5"/>
  <c r="CO20" i="5" s="1"/>
  <c r="CD20" i="5"/>
  <c r="CG20" i="5" s="1"/>
  <c r="BV20" i="5"/>
  <c r="BY20" i="5" s="1"/>
  <c r="BQ20" i="5"/>
  <c r="BR20" i="5" s="1"/>
  <c r="BM20" i="5"/>
  <c r="BP20" i="5" s="1"/>
  <c r="BH20" i="5"/>
  <c r="BI20" i="5" s="1"/>
  <c r="BD20" i="5"/>
  <c r="BG20" i="5" s="1"/>
  <c r="AY20" i="5"/>
  <c r="AZ20" i="5" s="1"/>
  <c r="AU20" i="5"/>
  <c r="AX20" i="5" s="1"/>
  <c r="AP20" i="5"/>
  <c r="AQ20" i="5" s="1"/>
  <c r="AL20" i="5"/>
  <c r="AO20" i="5" s="1"/>
  <c r="AG20" i="5"/>
  <c r="AH20" i="5" s="1"/>
  <c r="AD20" i="5"/>
  <c r="Y20" i="5"/>
  <c r="Z20" i="5" s="1"/>
  <c r="V20" i="5"/>
  <c r="Q20" i="5"/>
  <c r="R20" i="5" s="1"/>
  <c r="M20" i="5"/>
  <c r="P20" i="5" s="1"/>
  <c r="H20" i="5"/>
  <c r="I20" i="5" s="1"/>
  <c r="D20" i="5"/>
  <c r="G20" i="5" s="1"/>
  <c r="VU19" i="5"/>
  <c r="VV19" i="5" s="1"/>
  <c r="VQ19" i="5"/>
  <c r="VT19" i="5" s="1"/>
  <c r="VL19" i="5"/>
  <c r="VM19" i="5" s="1"/>
  <c r="VH19" i="5"/>
  <c r="VK19" i="5" s="1"/>
  <c r="VC19" i="5"/>
  <c r="VD19" i="5" s="1"/>
  <c r="UY19" i="5"/>
  <c r="VB19" i="5" s="1"/>
  <c r="UT19" i="5"/>
  <c r="UU19" i="5" s="1"/>
  <c r="UP19" i="5"/>
  <c r="US19" i="5" s="1"/>
  <c r="UI19" i="5"/>
  <c r="UL19" i="5" s="1"/>
  <c r="UD19" i="5"/>
  <c r="UE19" i="5" s="1"/>
  <c r="TZ19" i="5"/>
  <c r="UC19" i="5" s="1"/>
  <c r="TS19" i="5"/>
  <c r="TV19" i="5" s="1"/>
  <c r="TN19" i="5"/>
  <c r="TO19" i="5" s="1"/>
  <c r="TJ19" i="5"/>
  <c r="TM19" i="5" s="1"/>
  <c r="TE19" i="5"/>
  <c r="TF19" i="5" s="1"/>
  <c r="TA19" i="5"/>
  <c r="TD19" i="5" s="1"/>
  <c r="SV19" i="5"/>
  <c r="SW19" i="5" s="1"/>
  <c r="SR19" i="5"/>
  <c r="SU19" i="5" s="1"/>
  <c r="SM19" i="5"/>
  <c r="SN19" i="5" s="1"/>
  <c r="SI19" i="5"/>
  <c r="SL19" i="5" s="1"/>
  <c r="SD19" i="5"/>
  <c r="SE19" i="5" s="1"/>
  <c r="RZ19" i="5"/>
  <c r="SC19" i="5" s="1"/>
  <c r="RU19" i="5"/>
  <c r="RV19" i="5" s="1"/>
  <c r="RQ19" i="5"/>
  <c r="RT19" i="5" s="1"/>
  <c r="RL19" i="5"/>
  <c r="RM19" i="5" s="1"/>
  <c r="RH19" i="5"/>
  <c r="RK19" i="5" s="1"/>
  <c r="RC19" i="5"/>
  <c r="RD19" i="5" s="1"/>
  <c r="QY19" i="5"/>
  <c r="RB19" i="5" s="1"/>
  <c r="QT19" i="5"/>
  <c r="QU19" i="5" s="1"/>
  <c r="QP19" i="5"/>
  <c r="QS19" i="5" s="1"/>
  <c r="QK19" i="5"/>
  <c r="QL19" i="5" s="1"/>
  <c r="QG19" i="5"/>
  <c r="QJ19" i="5" s="1"/>
  <c r="QB19" i="5"/>
  <c r="QC19" i="5" s="1"/>
  <c r="PX19" i="5"/>
  <c r="QA19" i="5" s="1"/>
  <c r="PQ19" i="5"/>
  <c r="PT19" i="5" s="1"/>
  <c r="PL19" i="5"/>
  <c r="PM19" i="5" s="1"/>
  <c r="PH19" i="5"/>
  <c r="PK19" i="5" s="1"/>
  <c r="PC19" i="5"/>
  <c r="PD19" i="5" s="1"/>
  <c r="OY19" i="5"/>
  <c r="PB19" i="5" s="1"/>
  <c r="OT19" i="5"/>
  <c r="OU19" i="5" s="1"/>
  <c r="OP19" i="5"/>
  <c r="OS19" i="5" s="1"/>
  <c r="OK19" i="5"/>
  <c r="OL19" i="5" s="1"/>
  <c r="OG19" i="5"/>
  <c r="OJ19" i="5" s="1"/>
  <c r="OB19" i="5"/>
  <c r="OC19" i="5" s="1"/>
  <c r="NX19" i="5"/>
  <c r="OA19" i="5" s="1"/>
  <c r="NS19" i="5"/>
  <c r="NT19" i="5" s="1"/>
  <c r="NO19" i="5"/>
  <c r="NR19" i="5" s="1"/>
  <c r="NJ19" i="5"/>
  <c r="NK19" i="5" s="1"/>
  <c r="NF19" i="5"/>
  <c r="NI19" i="5" s="1"/>
  <c r="NA19" i="5"/>
  <c r="NB19" i="5" s="1"/>
  <c r="MW19" i="5"/>
  <c r="MZ19" i="5" s="1"/>
  <c r="MR19" i="5"/>
  <c r="MS19" i="5" s="1"/>
  <c r="MN19" i="5"/>
  <c r="MQ19" i="5" s="1"/>
  <c r="MI19" i="5"/>
  <c r="MJ19" i="5" s="1"/>
  <c r="ME19" i="5"/>
  <c r="MH19" i="5" s="1"/>
  <c r="LZ19" i="5"/>
  <c r="MA19" i="5" s="1"/>
  <c r="LV19" i="5"/>
  <c r="LY19" i="5" s="1"/>
  <c r="LQ19" i="5"/>
  <c r="LR19" i="5" s="1"/>
  <c r="LM19" i="5"/>
  <c r="LP19" i="5" s="1"/>
  <c r="LG19" i="5"/>
  <c r="LH19" i="5" s="1"/>
  <c r="LC19" i="5"/>
  <c r="LF19" i="5" s="1"/>
  <c r="KX19" i="5"/>
  <c r="KY19" i="5" s="1"/>
  <c r="KT19" i="5"/>
  <c r="KW19" i="5" s="1"/>
  <c r="KO19" i="5"/>
  <c r="KP19" i="5" s="1"/>
  <c r="KK19" i="5"/>
  <c r="KN19" i="5" s="1"/>
  <c r="KF19" i="5"/>
  <c r="KG19" i="5" s="1"/>
  <c r="KB19" i="5"/>
  <c r="KE19" i="5" s="1"/>
  <c r="JW19" i="5"/>
  <c r="JX19" i="5" s="1"/>
  <c r="JS19" i="5"/>
  <c r="JV19" i="5" s="1"/>
  <c r="JN19" i="5"/>
  <c r="JO19" i="5" s="1"/>
  <c r="JJ19" i="5"/>
  <c r="JM19" i="5" s="1"/>
  <c r="JE19" i="5"/>
  <c r="JF19" i="5" s="1"/>
  <c r="JA19" i="5"/>
  <c r="JD19" i="5" s="1"/>
  <c r="IV19" i="5"/>
  <c r="IW19" i="5" s="1"/>
  <c r="IR19" i="5"/>
  <c r="IU19" i="5" s="1"/>
  <c r="IM19" i="5"/>
  <c r="IN19" i="5" s="1"/>
  <c r="II19" i="5"/>
  <c r="IL19" i="5" s="1"/>
  <c r="ID19" i="5"/>
  <c r="IE19" i="5" s="1"/>
  <c r="HZ19" i="5"/>
  <c r="IC19" i="5" s="1"/>
  <c r="HU19" i="5"/>
  <c r="HV19" i="5" s="1"/>
  <c r="HQ19" i="5"/>
  <c r="HT19" i="5" s="1"/>
  <c r="HL19" i="5"/>
  <c r="HM19" i="5" s="1"/>
  <c r="HH19" i="5"/>
  <c r="HK19" i="5" s="1"/>
  <c r="HC19" i="5"/>
  <c r="HD19" i="5" s="1"/>
  <c r="GY19" i="5"/>
  <c r="HB19" i="5" s="1"/>
  <c r="GT19" i="5"/>
  <c r="GU19" i="5" s="1"/>
  <c r="GP19" i="5"/>
  <c r="GS19" i="5" s="1"/>
  <c r="GK19" i="5"/>
  <c r="GL19" i="5" s="1"/>
  <c r="GG19" i="5"/>
  <c r="GJ19" i="5" s="1"/>
  <c r="GB19" i="5"/>
  <c r="GC19" i="5" s="1"/>
  <c r="FX19" i="5"/>
  <c r="GA19" i="5" s="1"/>
  <c r="FS19" i="5"/>
  <c r="FT19" i="5" s="1"/>
  <c r="FO19" i="5"/>
  <c r="FR19" i="5" s="1"/>
  <c r="FJ19" i="5"/>
  <c r="FK19" i="5" s="1"/>
  <c r="FF19" i="5"/>
  <c r="FI19" i="5" s="1"/>
  <c r="FA19" i="5"/>
  <c r="FB19" i="5" s="1"/>
  <c r="EW19" i="5"/>
  <c r="EZ19" i="5" s="1"/>
  <c r="ER19" i="5"/>
  <c r="ES19" i="5" s="1"/>
  <c r="EN19" i="5"/>
  <c r="EQ19" i="5" s="1"/>
  <c r="EI19" i="5"/>
  <c r="EJ19" i="5" s="1"/>
  <c r="EE19" i="5"/>
  <c r="EH19" i="5" s="1"/>
  <c r="DZ19" i="5"/>
  <c r="EA19" i="5" s="1"/>
  <c r="DV19" i="5"/>
  <c r="DY19" i="5" s="1"/>
  <c r="DQ19" i="5"/>
  <c r="DR19" i="5" s="1"/>
  <c r="DM19" i="5"/>
  <c r="DP19" i="5" s="1"/>
  <c r="DH19" i="5"/>
  <c r="DI19" i="5" s="1"/>
  <c r="DD19" i="5"/>
  <c r="DG19" i="5" s="1"/>
  <c r="CY19" i="5"/>
  <c r="CZ19" i="5" s="1"/>
  <c r="CU19" i="5"/>
  <c r="CX19" i="5" s="1"/>
  <c r="CP19" i="5"/>
  <c r="CQ19" i="5" s="1"/>
  <c r="CL19" i="5"/>
  <c r="CO19" i="5" s="1"/>
  <c r="CD19" i="5"/>
  <c r="CG19" i="5" s="1"/>
  <c r="BV19" i="5"/>
  <c r="BY19" i="5" s="1"/>
  <c r="BQ19" i="5"/>
  <c r="BR19" i="5" s="1"/>
  <c r="BM19" i="5"/>
  <c r="BP19" i="5" s="1"/>
  <c r="BH19" i="5"/>
  <c r="BI19" i="5" s="1"/>
  <c r="BD19" i="5"/>
  <c r="BG19" i="5" s="1"/>
  <c r="AY19" i="5"/>
  <c r="AZ19" i="5" s="1"/>
  <c r="AU19" i="5"/>
  <c r="AX19" i="5" s="1"/>
  <c r="AP19" i="5"/>
  <c r="AQ19" i="5" s="1"/>
  <c r="AL19" i="5"/>
  <c r="AO19" i="5" s="1"/>
  <c r="AG19" i="5"/>
  <c r="AH19" i="5" s="1"/>
  <c r="AD19" i="5"/>
  <c r="Y19" i="5"/>
  <c r="Z19" i="5" s="1"/>
  <c r="V19" i="5"/>
  <c r="Q19" i="5"/>
  <c r="R19" i="5" s="1"/>
  <c r="M19" i="5"/>
  <c r="P19" i="5" s="1"/>
  <c r="H19" i="5"/>
  <c r="I19" i="5" s="1"/>
  <c r="D19" i="5"/>
  <c r="G19" i="5" s="1"/>
  <c r="VU18" i="5"/>
  <c r="VV18" i="5" s="1"/>
  <c r="VQ18" i="5"/>
  <c r="VT18" i="5" s="1"/>
  <c r="VM18" i="5"/>
  <c r="VN18" i="5" s="1"/>
  <c r="VK18" i="5"/>
  <c r="VC18" i="5"/>
  <c r="VD18" i="5" s="1"/>
  <c r="UY18" i="5"/>
  <c r="VB18" i="5" s="1"/>
  <c r="UT18" i="5"/>
  <c r="UU18" i="5" s="1"/>
  <c r="UP18" i="5"/>
  <c r="US18" i="5" s="1"/>
  <c r="UI18" i="5"/>
  <c r="UL18" i="5" s="1"/>
  <c r="UD18" i="5"/>
  <c r="UE18" i="5" s="1"/>
  <c r="TZ18" i="5"/>
  <c r="UC18" i="5" s="1"/>
  <c r="TS18" i="5"/>
  <c r="TV18" i="5" s="1"/>
  <c r="TN18" i="5"/>
  <c r="TO18" i="5" s="1"/>
  <c r="TJ18" i="5"/>
  <c r="TM18" i="5" s="1"/>
  <c r="TE18" i="5"/>
  <c r="TF18" i="5" s="1"/>
  <c r="TA18" i="5"/>
  <c r="TD18" i="5" s="1"/>
  <c r="SV18" i="5"/>
  <c r="SW18" i="5" s="1"/>
  <c r="SR18" i="5"/>
  <c r="SU18" i="5" s="1"/>
  <c r="SM18" i="5"/>
  <c r="SN18" i="5" s="1"/>
  <c r="SI18" i="5"/>
  <c r="SL18" i="5" s="1"/>
  <c r="SD18" i="5"/>
  <c r="SE18" i="5" s="1"/>
  <c r="RZ18" i="5"/>
  <c r="SC18" i="5" s="1"/>
  <c r="RU18" i="5"/>
  <c r="RV18" i="5" s="1"/>
  <c r="RQ18" i="5"/>
  <c r="RT18" i="5" s="1"/>
  <c r="RL18" i="5"/>
  <c r="RM18" i="5" s="1"/>
  <c r="RH18" i="5"/>
  <c r="RK18" i="5" s="1"/>
  <c r="RC18" i="5"/>
  <c r="RD18" i="5" s="1"/>
  <c r="QY18" i="5"/>
  <c r="RB18" i="5" s="1"/>
  <c r="QT18" i="5"/>
  <c r="QU18" i="5" s="1"/>
  <c r="QP18" i="5"/>
  <c r="QS18" i="5" s="1"/>
  <c r="QL18" i="5"/>
  <c r="QJ18" i="5"/>
  <c r="QB18" i="5"/>
  <c r="QC18" i="5" s="1"/>
  <c r="PX18" i="5"/>
  <c r="QA18" i="5" s="1"/>
  <c r="PQ18" i="5"/>
  <c r="PT18" i="5" s="1"/>
  <c r="PL18" i="5"/>
  <c r="PM18" i="5" s="1"/>
  <c r="PH18" i="5"/>
  <c r="PK18" i="5" s="1"/>
  <c r="PC18" i="5"/>
  <c r="PD18" i="5" s="1"/>
  <c r="OY18" i="5"/>
  <c r="PB18" i="5" s="1"/>
  <c r="OT18" i="5"/>
  <c r="OU18" i="5" s="1"/>
  <c r="OP18" i="5"/>
  <c r="OS18" i="5" s="1"/>
  <c r="OK18" i="5"/>
  <c r="OL18" i="5" s="1"/>
  <c r="OG18" i="5"/>
  <c r="OJ18" i="5" s="1"/>
  <c r="OB18" i="5"/>
  <c r="OC18" i="5" s="1"/>
  <c r="NX18" i="5"/>
  <c r="OA18" i="5" s="1"/>
  <c r="NS18" i="5"/>
  <c r="NT18" i="5" s="1"/>
  <c r="NO18" i="5"/>
  <c r="NR18" i="5" s="1"/>
  <c r="NJ18" i="5"/>
  <c r="NK18" i="5" s="1"/>
  <c r="NF18" i="5"/>
  <c r="NI18" i="5" s="1"/>
  <c r="NA18" i="5"/>
  <c r="NB18" i="5" s="1"/>
  <c r="MW18" i="5"/>
  <c r="MZ18" i="5" s="1"/>
  <c r="MR18" i="5"/>
  <c r="MS18" i="5" s="1"/>
  <c r="MN18" i="5"/>
  <c r="MQ18" i="5" s="1"/>
  <c r="MI18" i="5"/>
  <c r="MJ18" i="5" s="1"/>
  <c r="ME18" i="5"/>
  <c r="MH18" i="5" s="1"/>
  <c r="LZ18" i="5"/>
  <c r="MA18" i="5" s="1"/>
  <c r="LV18" i="5"/>
  <c r="LY18" i="5" s="1"/>
  <c r="LQ18" i="5"/>
  <c r="LR18" i="5" s="1"/>
  <c r="LM18" i="5"/>
  <c r="LP18" i="5" s="1"/>
  <c r="LG18" i="5"/>
  <c r="LH18" i="5" s="1"/>
  <c r="LC18" i="5"/>
  <c r="LF18" i="5" s="1"/>
  <c r="KX18" i="5"/>
  <c r="KY18" i="5" s="1"/>
  <c r="KT18" i="5"/>
  <c r="KW18" i="5" s="1"/>
  <c r="KO18" i="5"/>
  <c r="KP18" i="5" s="1"/>
  <c r="KK18" i="5"/>
  <c r="KN18" i="5" s="1"/>
  <c r="KF18" i="5"/>
  <c r="KG18" i="5" s="1"/>
  <c r="KB18" i="5"/>
  <c r="KE18" i="5" s="1"/>
  <c r="JW18" i="5"/>
  <c r="JX18" i="5" s="1"/>
  <c r="JS18" i="5"/>
  <c r="JV18" i="5" s="1"/>
  <c r="JN18" i="5"/>
  <c r="JO18" i="5" s="1"/>
  <c r="JJ18" i="5"/>
  <c r="JM18" i="5" s="1"/>
  <c r="JE18" i="5"/>
  <c r="JF18" i="5" s="1"/>
  <c r="JA18" i="5"/>
  <c r="JD18" i="5" s="1"/>
  <c r="IV18" i="5"/>
  <c r="IW18" i="5" s="1"/>
  <c r="IR18" i="5"/>
  <c r="IU18" i="5" s="1"/>
  <c r="IM18" i="5"/>
  <c r="IN18" i="5" s="1"/>
  <c r="II18" i="5"/>
  <c r="IL18" i="5" s="1"/>
  <c r="ID18" i="5"/>
  <c r="IE18" i="5" s="1"/>
  <c r="HZ18" i="5"/>
  <c r="IC18" i="5" s="1"/>
  <c r="HU18" i="5"/>
  <c r="HV18" i="5" s="1"/>
  <c r="HQ18" i="5"/>
  <c r="HT18" i="5" s="1"/>
  <c r="HL18" i="5"/>
  <c r="HM18" i="5" s="1"/>
  <c r="HH18" i="5"/>
  <c r="HK18" i="5" s="1"/>
  <c r="HC18" i="5"/>
  <c r="HD18" i="5" s="1"/>
  <c r="GY18" i="5"/>
  <c r="HB18" i="5" s="1"/>
  <c r="GT18" i="5"/>
  <c r="GU18" i="5" s="1"/>
  <c r="GP18" i="5"/>
  <c r="GS18" i="5" s="1"/>
  <c r="GK18" i="5"/>
  <c r="GL18" i="5" s="1"/>
  <c r="GG18" i="5"/>
  <c r="GJ18" i="5" s="1"/>
  <c r="GB18" i="5"/>
  <c r="GC18" i="5" s="1"/>
  <c r="FX18" i="5"/>
  <c r="GA18" i="5" s="1"/>
  <c r="FS18" i="5"/>
  <c r="FT18" i="5" s="1"/>
  <c r="FO18" i="5"/>
  <c r="FR18" i="5" s="1"/>
  <c r="FJ18" i="5"/>
  <c r="FK18" i="5" s="1"/>
  <c r="FF18" i="5"/>
  <c r="FI18" i="5" s="1"/>
  <c r="FA18" i="5"/>
  <c r="FB18" i="5" s="1"/>
  <c r="EW18" i="5"/>
  <c r="EZ18" i="5" s="1"/>
  <c r="ER18" i="5"/>
  <c r="ES18" i="5" s="1"/>
  <c r="EN18" i="5"/>
  <c r="EQ18" i="5" s="1"/>
  <c r="EI18" i="5"/>
  <c r="EJ18" i="5" s="1"/>
  <c r="EE18" i="5"/>
  <c r="EH18" i="5" s="1"/>
  <c r="DZ18" i="5"/>
  <c r="EA18" i="5" s="1"/>
  <c r="DV18" i="5"/>
  <c r="DY18" i="5" s="1"/>
  <c r="DQ18" i="5"/>
  <c r="DR18" i="5" s="1"/>
  <c r="DM18" i="5"/>
  <c r="DP18" i="5" s="1"/>
  <c r="DH18" i="5"/>
  <c r="DI18" i="5" s="1"/>
  <c r="DD18" i="5"/>
  <c r="DG18" i="5" s="1"/>
  <c r="CY18" i="5"/>
  <c r="CZ18" i="5" s="1"/>
  <c r="CU18" i="5"/>
  <c r="CX18" i="5" s="1"/>
  <c r="CP18" i="5"/>
  <c r="CQ18" i="5" s="1"/>
  <c r="CL18" i="5"/>
  <c r="CO18" i="5" s="1"/>
  <c r="CD18" i="5"/>
  <c r="CG18" i="5" s="1"/>
  <c r="BV18" i="5"/>
  <c r="BY18" i="5" s="1"/>
  <c r="BQ18" i="5"/>
  <c r="BR18" i="5" s="1"/>
  <c r="BM18" i="5"/>
  <c r="BP18" i="5" s="1"/>
  <c r="BH18" i="5"/>
  <c r="BI18" i="5" s="1"/>
  <c r="BD18" i="5"/>
  <c r="BG18" i="5" s="1"/>
  <c r="AY18" i="5"/>
  <c r="AZ18" i="5" s="1"/>
  <c r="AU18" i="5"/>
  <c r="AX18" i="5" s="1"/>
  <c r="AP18" i="5"/>
  <c r="AQ18" i="5" s="1"/>
  <c r="AL18" i="5"/>
  <c r="AO18" i="5" s="1"/>
  <c r="AG18" i="5"/>
  <c r="AH18" i="5" s="1"/>
  <c r="AD18" i="5"/>
  <c r="Y18" i="5"/>
  <c r="Z18" i="5" s="1"/>
  <c r="V18" i="5"/>
  <c r="Q18" i="5"/>
  <c r="R18" i="5" s="1"/>
  <c r="M18" i="5"/>
  <c r="P18" i="5" s="1"/>
  <c r="H18" i="5"/>
  <c r="I18" i="5" s="1"/>
  <c r="D18" i="5"/>
  <c r="G18" i="5" s="1"/>
  <c r="VU17" i="5"/>
  <c r="VV17" i="5" s="1"/>
  <c r="VQ17" i="5"/>
  <c r="VT17" i="5" s="1"/>
  <c r="VL17" i="5"/>
  <c r="VM17" i="5" s="1"/>
  <c r="VH17" i="5"/>
  <c r="VK17" i="5" s="1"/>
  <c r="VC17" i="5"/>
  <c r="VD17" i="5" s="1"/>
  <c r="UY17" i="5"/>
  <c r="VB17" i="5" s="1"/>
  <c r="UT17" i="5"/>
  <c r="UU17" i="5" s="1"/>
  <c r="UP17" i="5"/>
  <c r="US17" i="5" s="1"/>
  <c r="UI17" i="5"/>
  <c r="UL17" i="5" s="1"/>
  <c r="UD17" i="5"/>
  <c r="UE17" i="5" s="1"/>
  <c r="TZ17" i="5"/>
  <c r="UC17" i="5" s="1"/>
  <c r="TS17" i="5"/>
  <c r="TV17" i="5" s="1"/>
  <c r="TN17" i="5"/>
  <c r="TO17" i="5" s="1"/>
  <c r="TJ17" i="5"/>
  <c r="TM17" i="5" s="1"/>
  <c r="TE17" i="5"/>
  <c r="TF17" i="5" s="1"/>
  <c r="TA17" i="5"/>
  <c r="TD17" i="5" s="1"/>
  <c r="SV17" i="5"/>
  <c r="SW17" i="5" s="1"/>
  <c r="SR17" i="5"/>
  <c r="SU17" i="5" s="1"/>
  <c r="SM17" i="5"/>
  <c r="SN17" i="5" s="1"/>
  <c r="SI17" i="5"/>
  <c r="SL17" i="5" s="1"/>
  <c r="SD17" i="5"/>
  <c r="SE17" i="5" s="1"/>
  <c r="RZ17" i="5"/>
  <c r="SC17" i="5" s="1"/>
  <c r="RU17" i="5"/>
  <c r="RV17" i="5" s="1"/>
  <c r="RQ17" i="5"/>
  <c r="RT17" i="5" s="1"/>
  <c r="RL17" i="5"/>
  <c r="RM17" i="5" s="1"/>
  <c r="RH17" i="5"/>
  <c r="RK17" i="5" s="1"/>
  <c r="RC17" i="5"/>
  <c r="RD17" i="5" s="1"/>
  <c r="QY17" i="5"/>
  <c r="RB17" i="5" s="1"/>
  <c r="QT17" i="5"/>
  <c r="QU17" i="5" s="1"/>
  <c r="QP17" i="5"/>
  <c r="QS17" i="5" s="1"/>
  <c r="QK17" i="5"/>
  <c r="QL17" i="5" s="1"/>
  <c r="QG17" i="5"/>
  <c r="QJ17" i="5" s="1"/>
  <c r="QB17" i="5"/>
  <c r="QC17" i="5" s="1"/>
  <c r="PX17" i="5"/>
  <c r="QA17" i="5" s="1"/>
  <c r="PQ17" i="5"/>
  <c r="PT17" i="5" s="1"/>
  <c r="PL17" i="5"/>
  <c r="PM17" i="5" s="1"/>
  <c r="PH17" i="5"/>
  <c r="PK17" i="5" s="1"/>
  <c r="PC17" i="5"/>
  <c r="PD17" i="5" s="1"/>
  <c r="OY17" i="5"/>
  <c r="PB17" i="5" s="1"/>
  <c r="OT17" i="5"/>
  <c r="OU17" i="5" s="1"/>
  <c r="OP17" i="5"/>
  <c r="OS17" i="5" s="1"/>
  <c r="OK17" i="5"/>
  <c r="OL17" i="5" s="1"/>
  <c r="OG17" i="5"/>
  <c r="OJ17" i="5" s="1"/>
  <c r="OB17" i="5"/>
  <c r="OC17" i="5" s="1"/>
  <c r="NX17" i="5"/>
  <c r="OA17" i="5" s="1"/>
  <c r="NS17" i="5"/>
  <c r="NT17" i="5" s="1"/>
  <c r="NO17" i="5"/>
  <c r="NR17" i="5" s="1"/>
  <c r="NJ17" i="5"/>
  <c r="NK17" i="5" s="1"/>
  <c r="NF17" i="5"/>
  <c r="NI17" i="5" s="1"/>
  <c r="NA17" i="5"/>
  <c r="NB17" i="5" s="1"/>
  <c r="MW17" i="5"/>
  <c r="MZ17" i="5" s="1"/>
  <c r="MR17" i="5"/>
  <c r="MS17" i="5" s="1"/>
  <c r="MN17" i="5"/>
  <c r="MQ17" i="5" s="1"/>
  <c r="MI17" i="5"/>
  <c r="MJ17" i="5" s="1"/>
  <c r="ME17" i="5"/>
  <c r="MH17" i="5" s="1"/>
  <c r="LZ17" i="5"/>
  <c r="MA17" i="5" s="1"/>
  <c r="LV17" i="5"/>
  <c r="LY17" i="5" s="1"/>
  <c r="LQ17" i="5"/>
  <c r="LR17" i="5" s="1"/>
  <c r="LM17" i="5"/>
  <c r="LP17" i="5" s="1"/>
  <c r="LG17" i="5"/>
  <c r="LH17" i="5" s="1"/>
  <c r="LC17" i="5"/>
  <c r="LF17" i="5" s="1"/>
  <c r="KX17" i="5"/>
  <c r="KY17" i="5" s="1"/>
  <c r="KT17" i="5"/>
  <c r="KW17" i="5" s="1"/>
  <c r="KO17" i="5"/>
  <c r="KP17" i="5" s="1"/>
  <c r="KK17" i="5"/>
  <c r="KN17" i="5" s="1"/>
  <c r="KF17" i="5"/>
  <c r="KG17" i="5" s="1"/>
  <c r="KB17" i="5"/>
  <c r="KE17" i="5" s="1"/>
  <c r="JW17" i="5"/>
  <c r="JX17" i="5" s="1"/>
  <c r="JS17" i="5"/>
  <c r="JV17" i="5" s="1"/>
  <c r="JN17" i="5"/>
  <c r="JO17" i="5" s="1"/>
  <c r="JJ17" i="5"/>
  <c r="JM17" i="5" s="1"/>
  <c r="JE17" i="5"/>
  <c r="JF17" i="5" s="1"/>
  <c r="JA17" i="5"/>
  <c r="JD17" i="5" s="1"/>
  <c r="IV17" i="5"/>
  <c r="IW17" i="5" s="1"/>
  <c r="IR17" i="5"/>
  <c r="IU17" i="5" s="1"/>
  <c r="IM17" i="5"/>
  <c r="IN17" i="5" s="1"/>
  <c r="II17" i="5"/>
  <c r="IL17" i="5" s="1"/>
  <c r="ID17" i="5"/>
  <c r="IE17" i="5" s="1"/>
  <c r="HZ17" i="5"/>
  <c r="IC17" i="5" s="1"/>
  <c r="HU17" i="5"/>
  <c r="HV17" i="5" s="1"/>
  <c r="HQ17" i="5"/>
  <c r="HT17" i="5" s="1"/>
  <c r="HL17" i="5"/>
  <c r="HM17" i="5" s="1"/>
  <c r="HH17" i="5"/>
  <c r="HK17" i="5" s="1"/>
  <c r="HC17" i="5"/>
  <c r="HD17" i="5" s="1"/>
  <c r="GY17" i="5"/>
  <c r="HB17" i="5" s="1"/>
  <c r="GT17" i="5"/>
  <c r="GU17" i="5" s="1"/>
  <c r="GP17" i="5"/>
  <c r="GS17" i="5" s="1"/>
  <c r="GK17" i="5"/>
  <c r="GL17" i="5" s="1"/>
  <c r="GG17" i="5"/>
  <c r="GJ17" i="5" s="1"/>
  <c r="GB17" i="5"/>
  <c r="GC17" i="5" s="1"/>
  <c r="FX17" i="5"/>
  <c r="GA17" i="5" s="1"/>
  <c r="FS17" i="5"/>
  <c r="FT17" i="5" s="1"/>
  <c r="FO17" i="5"/>
  <c r="FR17" i="5" s="1"/>
  <c r="FJ17" i="5"/>
  <c r="FK17" i="5" s="1"/>
  <c r="FF17" i="5"/>
  <c r="FI17" i="5" s="1"/>
  <c r="FA17" i="5"/>
  <c r="FB17" i="5" s="1"/>
  <c r="EW17" i="5"/>
  <c r="EZ17" i="5" s="1"/>
  <c r="ER17" i="5"/>
  <c r="ES17" i="5" s="1"/>
  <c r="EN17" i="5"/>
  <c r="EQ17" i="5" s="1"/>
  <c r="EI17" i="5"/>
  <c r="EJ17" i="5" s="1"/>
  <c r="EE17" i="5"/>
  <c r="EH17" i="5" s="1"/>
  <c r="DZ17" i="5"/>
  <c r="EA17" i="5" s="1"/>
  <c r="DV17" i="5"/>
  <c r="DY17" i="5" s="1"/>
  <c r="DQ17" i="5"/>
  <c r="DR17" i="5" s="1"/>
  <c r="DM17" i="5"/>
  <c r="DP17" i="5" s="1"/>
  <c r="DH17" i="5"/>
  <c r="DI17" i="5" s="1"/>
  <c r="DD17" i="5"/>
  <c r="DG17" i="5" s="1"/>
  <c r="CY17" i="5"/>
  <c r="CZ17" i="5" s="1"/>
  <c r="CU17" i="5"/>
  <c r="CX17" i="5" s="1"/>
  <c r="CP17" i="5"/>
  <c r="CQ17" i="5" s="1"/>
  <c r="CL17" i="5"/>
  <c r="CO17" i="5" s="1"/>
  <c r="CD17" i="5"/>
  <c r="CG17" i="5" s="1"/>
  <c r="BV17" i="5"/>
  <c r="BY17" i="5" s="1"/>
  <c r="BQ17" i="5"/>
  <c r="BR17" i="5" s="1"/>
  <c r="BM17" i="5"/>
  <c r="BP17" i="5" s="1"/>
  <c r="BH17" i="5"/>
  <c r="BI17" i="5" s="1"/>
  <c r="BD17" i="5"/>
  <c r="BG17" i="5" s="1"/>
  <c r="AY17" i="5"/>
  <c r="AZ17" i="5" s="1"/>
  <c r="AU17" i="5"/>
  <c r="AX17" i="5" s="1"/>
  <c r="AP17" i="5"/>
  <c r="AQ17" i="5" s="1"/>
  <c r="AL17" i="5"/>
  <c r="AO17" i="5" s="1"/>
  <c r="AG17" i="5"/>
  <c r="AH17" i="5" s="1"/>
  <c r="AD17" i="5"/>
  <c r="Y17" i="5"/>
  <c r="Z17" i="5" s="1"/>
  <c r="V17" i="5"/>
  <c r="Q17" i="5"/>
  <c r="R17" i="5" s="1"/>
  <c r="M17" i="5"/>
  <c r="P17" i="5" s="1"/>
  <c r="H17" i="5"/>
  <c r="I17" i="5" s="1"/>
  <c r="D17" i="5"/>
  <c r="G17" i="5" s="1"/>
  <c r="VU16" i="5"/>
  <c r="VV16" i="5" s="1"/>
  <c r="VQ16" i="5"/>
  <c r="VT16" i="5" s="1"/>
  <c r="VL16" i="5"/>
  <c r="VH16" i="5"/>
  <c r="VK16" i="5" s="1"/>
  <c r="VC16" i="5"/>
  <c r="VD16" i="5" s="1"/>
  <c r="UY16" i="5"/>
  <c r="VB16" i="5" s="1"/>
  <c r="UT16" i="5"/>
  <c r="UU16" i="5" s="1"/>
  <c r="UP16" i="5"/>
  <c r="US16" i="5" s="1"/>
  <c r="UI16" i="5"/>
  <c r="UL16" i="5" s="1"/>
  <c r="UD16" i="5"/>
  <c r="UE16" i="5" s="1"/>
  <c r="TZ16" i="5"/>
  <c r="UC16" i="5" s="1"/>
  <c r="TS16" i="5"/>
  <c r="TV16" i="5" s="1"/>
  <c r="TN16" i="5"/>
  <c r="TO16" i="5" s="1"/>
  <c r="TJ16" i="5"/>
  <c r="TM16" i="5" s="1"/>
  <c r="TE16" i="5"/>
  <c r="TF16" i="5" s="1"/>
  <c r="TA16" i="5"/>
  <c r="TD16" i="5" s="1"/>
  <c r="SV16" i="5"/>
  <c r="SW16" i="5" s="1"/>
  <c r="SR16" i="5"/>
  <c r="SU16" i="5" s="1"/>
  <c r="SM16" i="5"/>
  <c r="SN16" i="5" s="1"/>
  <c r="SI16" i="5"/>
  <c r="SL16" i="5" s="1"/>
  <c r="SD16" i="5"/>
  <c r="SE16" i="5" s="1"/>
  <c r="RZ16" i="5"/>
  <c r="SC16" i="5" s="1"/>
  <c r="RU16" i="5"/>
  <c r="RV16" i="5" s="1"/>
  <c r="RQ16" i="5"/>
  <c r="RT16" i="5" s="1"/>
  <c r="RL16" i="5"/>
  <c r="RM16" i="5" s="1"/>
  <c r="RH16" i="5"/>
  <c r="RK16" i="5" s="1"/>
  <c r="RC16" i="5"/>
  <c r="RD16" i="5" s="1"/>
  <c r="QY16" i="5"/>
  <c r="RB16" i="5" s="1"/>
  <c r="QT16" i="5"/>
  <c r="QU16" i="5" s="1"/>
  <c r="QP16" i="5"/>
  <c r="QS16" i="5" s="1"/>
  <c r="QK16" i="5"/>
  <c r="QL16" i="5" s="1"/>
  <c r="QG16" i="5"/>
  <c r="QJ16" i="5" s="1"/>
  <c r="QB16" i="5"/>
  <c r="QC16" i="5" s="1"/>
  <c r="PX16" i="5"/>
  <c r="QA16" i="5" s="1"/>
  <c r="PQ16" i="5"/>
  <c r="PT16" i="5" s="1"/>
  <c r="PL16" i="5"/>
  <c r="PM16" i="5" s="1"/>
  <c r="PH16" i="5"/>
  <c r="PK16" i="5" s="1"/>
  <c r="PC16" i="5"/>
  <c r="PD16" i="5" s="1"/>
  <c r="OY16" i="5"/>
  <c r="PB16" i="5" s="1"/>
  <c r="OT16" i="5"/>
  <c r="OU16" i="5" s="1"/>
  <c r="OP16" i="5"/>
  <c r="OS16" i="5" s="1"/>
  <c r="OK16" i="5"/>
  <c r="OL16" i="5" s="1"/>
  <c r="OG16" i="5"/>
  <c r="OJ16" i="5" s="1"/>
  <c r="OB16" i="5"/>
  <c r="OC16" i="5" s="1"/>
  <c r="NX16" i="5"/>
  <c r="OA16" i="5" s="1"/>
  <c r="NS16" i="5"/>
  <c r="NT16" i="5" s="1"/>
  <c r="NO16" i="5"/>
  <c r="NR16" i="5" s="1"/>
  <c r="NJ16" i="5"/>
  <c r="NK16" i="5" s="1"/>
  <c r="NF16" i="5"/>
  <c r="NI16" i="5" s="1"/>
  <c r="NA16" i="5"/>
  <c r="NB16" i="5" s="1"/>
  <c r="MW16" i="5"/>
  <c r="MZ16" i="5" s="1"/>
  <c r="MR16" i="5"/>
  <c r="MS16" i="5" s="1"/>
  <c r="MN16" i="5"/>
  <c r="MQ16" i="5" s="1"/>
  <c r="MI16" i="5"/>
  <c r="MJ16" i="5" s="1"/>
  <c r="ME16" i="5"/>
  <c r="MH16" i="5" s="1"/>
  <c r="LZ16" i="5"/>
  <c r="MA16" i="5" s="1"/>
  <c r="LV16" i="5"/>
  <c r="LY16" i="5" s="1"/>
  <c r="LQ16" i="5"/>
  <c r="LR16" i="5" s="1"/>
  <c r="LM16" i="5"/>
  <c r="LP16" i="5" s="1"/>
  <c r="LG16" i="5"/>
  <c r="LH16" i="5" s="1"/>
  <c r="LC16" i="5"/>
  <c r="LF16" i="5" s="1"/>
  <c r="KX16" i="5"/>
  <c r="KY16" i="5" s="1"/>
  <c r="KT16" i="5"/>
  <c r="KW16" i="5" s="1"/>
  <c r="KO16" i="5"/>
  <c r="KP16" i="5" s="1"/>
  <c r="KK16" i="5"/>
  <c r="KN16" i="5" s="1"/>
  <c r="KF16" i="5"/>
  <c r="KG16" i="5" s="1"/>
  <c r="KB16" i="5"/>
  <c r="KE16" i="5" s="1"/>
  <c r="JW16" i="5"/>
  <c r="JX16" i="5" s="1"/>
  <c r="JS16" i="5"/>
  <c r="JV16" i="5" s="1"/>
  <c r="JN16" i="5"/>
  <c r="JO16" i="5" s="1"/>
  <c r="JJ16" i="5"/>
  <c r="JM16" i="5" s="1"/>
  <c r="JE16" i="5"/>
  <c r="JF16" i="5" s="1"/>
  <c r="JA16" i="5"/>
  <c r="JD16" i="5" s="1"/>
  <c r="IV16" i="5"/>
  <c r="IW16" i="5" s="1"/>
  <c r="IR16" i="5"/>
  <c r="IU16" i="5" s="1"/>
  <c r="IM16" i="5"/>
  <c r="IN16" i="5" s="1"/>
  <c r="II16" i="5"/>
  <c r="IL16" i="5" s="1"/>
  <c r="ID16" i="5"/>
  <c r="IE16" i="5" s="1"/>
  <c r="HZ16" i="5"/>
  <c r="IC16" i="5" s="1"/>
  <c r="HU16" i="5"/>
  <c r="HV16" i="5" s="1"/>
  <c r="HQ16" i="5"/>
  <c r="HT16" i="5" s="1"/>
  <c r="HL16" i="5"/>
  <c r="HM16" i="5" s="1"/>
  <c r="HH16" i="5"/>
  <c r="HK16" i="5" s="1"/>
  <c r="HC16" i="5"/>
  <c r="HD16" i="5" s="1"/>
  <c r="GY16" i="5"/>
  <c r="HB16" i="5" s="1"/>
  <c r="GT16" i="5"/>
  <c r="GU16" i="5" s="1"/>
  <c r="GP16" i="5"/>
  <c r="GS16" i="5" s="1"/>
  <c r="GK16" i="5"/>
  <c r="GL16" i="5" s="1"/>
  <c r="GG16" i="5"/>
  <c r="GJ16" i="5" s="1"/>
  <c r="GB16" i="5"/>
  <c r="GC16" i="5" s="1"/>
  <c r="FX16" i="5"/>
  <c r="GA16" i="5" s="1"/>
  <c r="FS16" i="5"/>
  <c r="FT16" i="5" s="1"/>
  <c r="FO16" i="5"/>
  <c r="FR16" i="5" s="1"/>
  <c r="FJ16" i="5"/>
  <c r="FK16" i="5" s="1"/>
  <c r="FF16" i="5"/>
  <c r="FI16" i="5" s="1"/>
  <c r="FA16" i="5"/>
  <c r="FB16" i="5" s="1"/>
  <c r="EW16" i="5"/>
  <c r="EZ16" i="5" s="1"/>
  <c r="ER16" i="5"/>
  <c r="ES16" i="5" s="1"/>
  <c r="EN16" i="5"/>
  <c r="EQ16" i="5" s="1"/>
  <c r="EI16" i="5"/>
  <c r="EJ16" i="5" s="1"/>
  <c r="EE16" i="5"/>
  <c r="EH16" i="5" s="1"/>
  <c r="DZ16" i="5"/>
  <c r="EA16" i="5" s="1"/>
  <c r="DV16" i="5"/>
  <c r="DY16" i="5" s="1"/>
  <c r="DQ16" i="5"/>
  <c r="DR16" i="5" s="1"/>
  <c r="DM16" i="5"/>
  <c r="DP16" i="5" s="1"/>
  <c r="DH16" i="5"/>
  <c r="DI16" i="5" s="1"/>
  <c r="DD16" i="5"/>
  <c r="DG16" i="5" s="1"/>
  <c r="CY16" i="5"/>
  <c r="CZ16" i="5" s="1"/>
  <c r="CU16" i="5"/>
  <c r="CX16" i="5" s="1"/>
  <c r="CP16" i="5"/>
  <c r="CQ16" i="5" s="1"/>
  <c r="CL16" i="5"/>
  <c r="CO16" i="5" s="1"/>
  <c r="CD16" i="5"/>
  <c r="CG16" i="5" s="1"/>
  <c r="BV16" i="5"/>
  <c r="BY16" i="5" s="1"/>
  <c r="BQ16" i="5"/>
  <c r="BR16" i="5" s="1"/>
  <c r="BM16" i="5"/>
  <c r="BP16" i="5" s="1"/>
  <c r="BH16" i="5"/>
  <c r="BI16" i="5" s="1"/>
  <c r="BD16" i="5"/>
  <c r="BG16" i="5" s="1"/>
  <c r="AY16" i="5"/>
  <c r="AZ16" i="5" s="1"/>
  <c r="AU16" i="5"/>
  <c r="AX16" i="5" s="1"/>
  <c r="AP16" i="5"/>
  <c r="AQ16" i="5" s="1"/>
  <c r="AL16" i="5"/>
  <c r="AO16" i="5" s="1"/>
  <c r="AG16" i="5"/>
  <c r="AH16" i="5" s="1"/>
  <c r="AD16" i="5"/>
  <c r="Y16" i="5"/>
  <c r="Z16" i="5" s="1"/>
  <c r="V16" i="5"/>
  <c r="Q16" i="5"/>
  <c r="R16" i="5" s="1"/>
  <c r="M16" i="5"/>
  <c r="P16" i="5" s="1"/>
  <c r="H16" i="5"/>
  <c r="I16" i="5" s="1"/>
  <c r="D16" i="5"/>
  <c r="G16" i="5" s="1"/>
  <c r="VU15" i="5"/>
  <c r="VV15" i="5" s="1"/>
  <c r="VQ15" i="5"/>
  <c r="VT15" i="5" s="1"/>
  <c r="VL15" i="5"/>
  <c r="VM15" i="5" s="1"/>
  <c r="VH15" i="5"/>
  <c r="VC15" i="5"/>
  <c r="VD15" i="5" s="1"/>
  <c r="UY15" i="5"/>
  <c r="VB15" i="5" s="1"/>
  <c r="UT15" i="5"/>
  <c r="UU15" i="5" s="1"/>
  <c r="UP15" i="5"/>
  <c r="US15" i="5" s="1"/>
  <c r="UI15" i="5"/>
  <c r="UL15" i="5" s="1"/>
  <c r="UD15" i="5"/>
  <c r="UE15" i="5" s="1"/>
  <c r="TZ15" i="5"/>
  <c r="UC15" i="5" s="1"/>
  <c r="TS15" i="5"/>
  <c r="TV15" i="5" s="1"/>
  <c r="TN15" i="5"/>
  <c r="TO15" i="5" s="1"/>
  <c r="TJ15" i="5"/>
  <c r="TM15" i="5" s="1"/>
  <c r="TE15" i="5"/>
  <c r="TF15" i="5" s="1"/>
  <c r="TA15" i="5"/>
  <c r="TD15" i="5" s="1"/>
  <c r="SV15" i="5"/>
  <c r="SW15" i="5" s="1"/>
  <c r="SR15" i="5"/>
  <c r="SU15" i="5" s="1"/>
  <c r="SM15" i="5"/>
  <c r="SN15" i="5" s="1"/>
  <c r="SI15" i="5"/>
  <c r="SL15" i="5" s="1"/>
  <c r="SD15" i="5"/>
  <c r="SE15" i="5" s="1"/>
  <c r="RZ15" i="5"/>
  <c r="SC15" i="5" s="1"/>
  <c r="RU15" i="5"/>
  <c r="RV15" i="5" s="1"/>
  <c r="RQ15" i="5"/>
  <c r="RT15" i="5" s="1"/>
  <c r="RL15" i="5"/>
  <c r="RM15" i="5" s="1"/>
  <c r="RH15" i="5"/>
  <c r="RK15" i="5" s="1"/>
  <c r="RC15" i="5"/>
  <c r="RD15" i="5" s="1"/>
  <c r="QY15" i="5"/>
  <c r="RB15" i="5" s="1"/>
  <c r="QT15" i="5"/>
  <c r="QU15" i="5" s="1"/>
  <c r="QP15" i="5"/>
  <c r="QS15" i="5" s="1"/>
  <c r="QK15" i="5"/>
  <c r="QL15" i="5" s="1"/>
  <c r="QG15" i="5"/>
  <c r="QJ15" i="5" s="1"/>
  <c r="QB15" i="5"/>
  <c r="QC15" i="5" s="1"/>
  <c r="PX15" i="5"/>
  <c r="QA15" i="5" s="1"/>
  <c r="PQ15" i="5"/>
  <c r="PT15" i="5" s="1"/>
  <c r="PL15" i="5"/>
  <c r="PM15" i="5" s="1"/>
  <c r="PH15" i="5"/>
  <c r="PK15" i="5" s="1"/>
  <c r="PD15" i="5"/>
  <c r="PB15" i="5"/>
  <c r="OT15" i="5"/>
  <c r="OU15" i="5" s="1"/>
  <c r="OP15" i="5"/>
  <c r="OS15" i="5" s="1"/>
  <c r="OK15" i="5"/>
  <c r="OL15" i="5" s="1"/>
  <c r="OG15" i="5"/>
  <c r="OJ15" i="5" s="1"/>
  <c r="OB15" i="5"/>
  <c r="OC15" i="5" s="1"/>
  <c r="NX15" i="5"/>
  <c r="OA15" i="5" s="1"/>
  <c r="NS15" i="5"/>
  <c r="NT15" i="5" s="1"/>
  <c r="NO15" i="5"/>
  <c r="NR15" i="5" s="1"/>
  <c r="NJ15" i="5"/>
  <c r="NK15" i="5" s="1"/>
  <c r="NF15" i="5"/>
  <c r="NI15" i="5" s="1"/>
  <c r="NA15" i="5"/>
  <c r="NB15" i="5" s="1"/>
  <c r="MW15" i="5"/>
  <c r="MZ15" i="5" s="1"/>
  <c r="MR15" i="5"/>
  <c r="MS15" i="5" s="1"/>
  <c r="MN15" i="5"/>
  <c r="MQ15" i="5" s="1"/>
  <c r="MI15" i="5"/>
  <c r="MJ15" i="5" s="1"/>
  <c r="ME15" i="5"/>
  <c r="MH15" i="5" s="1"/>
  <c r="LZ15" i="5"/>
  <c r="MA15" i="5" s="1"/>
  <c r="LV15" i="5"/>
  <c r="LY15" i="5" s="1"/>
  <c r="LQ15" i="5"/>
  <c r="LR15" i="5" s="1"/>
  <c r="LM15" i="5"/>
  <c r="LP15" i="5" s="1"/>
  <c r="LG15" i="5"/>
  <c r="LH15" i="5" s="1"/>
  <c r="LC15" i="5"/>
  <c r="LF15" i="5" s="1"/>
  <c r="KX15" i="5"/>
  <c r="KY15" i="5" s="1"/>
  <c r="KT15" i="5"/>
  <c r="KW15" i="5" s="1"/>
  <c r="KO15" i="5"/>
  <c r="KP15" i="5" s="1"/>
  <c r="KK15" i="5"/>
  <c r="KN15" i="5" s="1"/>
  <c r="KF15" i="5"/>
  <c r="KG15" i="5" s="1"/>
  <c r="KB15" i="5"/>
  <c r="KE15" i="5" s="1"/>
  <c r="JW15" i="5"/>
  <c r="JX15" i="5" s="1"/>
  <c r="JS15" i="5"/>
  <c r="JV15" i="5" s="1"/>
  <c r="JN15" i="5"/>
  <c r="JO15" i="5" s="1"/>
  <c r="JJ15" i="5"/>
  <c r="JM15" i="5" s="1"/>
  <c r="JE15" i="5"/>
  <c r="JF15" i="5" s="1"/>
  <c r="JA15" i="5"/>
  <c r="JD15" i="5" s="1"/>
  <c r="IV15" i="5"/>
  <c r="IW15" i="5" s="1"/>
  <c r="IR15" i="5"/>
  <c r="IU15" i="5" s="1"/>
  <c r="IM15" i="5"/>
  <c r="IN15" i="5" s="1"/>
  <c r="II15" i="5"/>
  <c r="IL15" i="5" s="1"/>
  <c r="ID15" i="5"/>
  <c r="IE15" i="5" s="1"/>
  <c r="HZ15" i="5"/>
  <c r="IC15" i="5" s="1"/>
  <c r="HU15" i="5"/>
  <c r="HV15" i="5" s="1"/>
  <c r="HQ15" i="5"/>
  <c r="HT15" i="5" s="1"/>
  <c r="HL15" i="5"/>
  <c r="HM15" i="5" s="1"/>
  <c r="HH15" i="5"/>
  <c r="HK15" i="5" s="1"/>
  <c r="HC15" i="5"/>
  <c r="HD15" i="5" s="1"/>
  <c r="GY15" i="5"/>
  <c r="HB15" i="5" s="1"/>
  <c r="GT15" i="5"/>
  <c r="GU15" i="5" s="1"/>
  <c r="GP15" i="5"/>
  <c r="GS15" i="5" s="1"/>
  <c r="GK15" i="5"/>
  <c r="GL15" i="5" s="1"/>
  <c r="GG15" i="5"/>
  <c r="GJ15" i="5" s="1"/>
  <c r="GB15" i="5"/>
  <c r="GC15" i="5" s="1"/>
  <c r="FX15" i="5"/>
  <c r="GA15" i="5" s="1"/>
  <c r="FS15" i="5"/>
  <c r="FT15" i="5" s="1"/>
  <c r="FO15" i="5"/>
  <c r="FR15" i="5" s="1"/>
  <c r="FJ15" i="5"/>
  <c r="FK15" i="5" s="1"/>
  <c r="FF15" i="5"/>
  <c r="FI15" i="5" s="1"/>
  <c r="FA15" i="5"/>
  <c r="FB15" i="5" s="1"/>
  <c r="EW15" i="5"/>
  <c r="EZ15" i="5" s="1"/>
  <c r="ER15" i="5"/>
  <c r="ES15" i="5" s="1"/>
  <c r="EN15" i="5"/>
  <c r="EQ15" i="5" s="1"/>
  <c r="EI15" i="5"/>
  <c r="EJ15" i="5" s="1"/>
  <c r="EE15" i="5"/>
  <c r="EH15" i="5" s="1"/>
  <c r="DZ15" i="5"/>
  <c r="EA15" i="5" s="1"/>
  <c r="DV15" i="5"/>
  <c r="DY15" i="5" s="1"/>
  <c r="DQ15" i="5"/>
  <c r="DR15" i="5" s="1"/>
  <c r="DM15" i="5"/>
  <c r="DP15" i="5" s="1"/>
  <c r="DH15" i="5"/>
  <c r="DI15" i="5" s="1"/>
  <c r="DD15" i="5"/>
  <c r="DG15" i="5" s="1"/>
  <c r="CY15" i="5"/>
  <c r="CZ15" i="5" s="1"/>
  <c r="CU15" i="5"/>
  <c r="CX15" i="5" s="1"/>
  <c r="CP15" i="5"/>
  <c r="CQ15" i="5" s="1"/>
  <c r="CL15" i="5"/>
  <c r="CO15" i="5" s="1"/>
  <c r="CD15" i="5"/>
  <c r="CG15" i="5" s="1"/>
  <c r="BV15" i="5"/>
  <c r="BY15" i="5" s="1"/>
  <c r="BQ15" i="5"/>
  <c r="BR15" i="5" s="1"/>
  <c r="BM15" i="5"/>
  <c r="BP15" i="5" s="1"/>
  <c r="BH15" i="5"/>
  <c r="BI15" i="5" s="1"/>
  <c r="BD15" i="5"/>
  <c r="BG15" i="5" s="1"/>
  <c r="AY15" i="5"/>
  <c r="AZ15" i="5" s="1"/>
  <c r="AU15" i="5"/>
  <c r="AX15" i="5" s="1"/>
  <c r="AP15" i="5"/>
  <c r="AQ15" i="5" s="1"/>
  <c r="AL15" i="5"/>
  <c r="AO15" i="5" s="1"/>
  <c r="AG15" i="5"/>
  <c r="AH15" i="5" s="1"/>
  <c r="AD15" i="5"/>
  <c r="Y15" i="5"/>
  <c r="Z15" i="5" s="1"/>
  <c r="V15" i="5"/>
  <c r="R15" i="5"/>
  <c r="S15" i="5" s="1"/>
  <c r="P15" i="5"/>
  <c r="H15" i="5"/>
  <c r="I15" i="5" s="1"/>
  <c r="D15" i="5"/>
  <c r="G15" i="5" s="1"/>
  <c r="VU14" i="5"/>
  <c r="VV14" i="5" s="1"/>
  <c r="VQ14" i="5"/>
  <c r="VT14" i="5" s="1"/>
  <c r="VL14" i="5"/>
  <c r="VM14" i="5" s="1"/>
  <c r="VH14" i="5"/>
  <c r="VK14" i="5" s="1"/>
  <c r="VC14" i="5"/>
  <c r="VD14" i="5" s="1"/>
  <c r="UY14" i="5"/>
  <c r="VB14" i="5" s="1"/>
  <c r="UT14" i="5"/>
  <c r="UU14" i="5" s="1"/>
  <c r="UP14" i="5"/>
  <c r="US14" i="5" s="1"/>
  <c r="UI14" i="5"/>
  <c r="UL14" i="5" s="1"/>
  <c r="UD14" i="5"/>
  <c r="UE14" i="5" s="1"/>
  <c r="TZ14" i="5"/>
  <c r="UC14" i="5" s="1"/>
  <c r="TS14" i="5"/>
  <c r="TV14" i="5" s="1"/>
  <c r="TN14" i="5"/>
  <c r="TO14" i="5" s="1"/>
  <c r="TJ14" i="5"/>
  <c r="TM14" i="5" s="1"/>
  <c r="TE14" i="5"/>
  <c r="TF14" i="5" s="1"/>
  <c r="TA14" i="5"/>
  <c r="TD14" i="5" s="1"/>
  <c r="SV14" i="5"/>
  <c r="SW14" i="5" s="1"/>
  <c r="SR14" i="5"/>
  <c r="SU14" i="5" s="1"/>
  <c r="SM14" i="5"/>
  <c r="SN14" i="5" s="1"/>
  <c r="SI14" i="5"/>
  <c r="SL14" i="5" s="1"/>
  <c r="SD14" i="5"/>
  <c r="SE14" i="5" s="1"/>
  <c r="RZ14" i="5"/>
  <c r="SC14" i="5" s="1"/>
  <c r="RU14" i="5"/>
  <c r="RV14" i="5" s="1"/>
  <c r="RQ14" i="5"/>
  <c r="RT14" i="5" s="1"/>
  <c r="RL14" i="5"/>
  <c r="RM14" i="5" s="1"/>
  <c r="RH14" i="5"/>
  <c r="RK14" i="5" s="1"/>
  <c r="RC14" i="5"/>
  <c r="RD14" i="5" s="1"/>
  <c r="QY14" i="5"/>
  <c r="RB14" i="5" s="1"/>
  <c r="QT14" i="5"/>
  <c r="QU14" i="5" s="1"/>
  <c r="QP14" i="5"/>
  <c r="QS14" i="5" s="1"/>
  <c r="QK14" i="5"/>
  <c r="QL14" i="5" s="1"/>
  <c r="QG14" i="5"/>
  <c r="QJ14" i="5" s="1"/>
  <c r="QB14" i="5"/>
  <c r="QC14" i="5" s="1"/>
  <c r="PX14" i="5"/>
  <c r="QA14" i="5" s="1"/>
  <c r="PQ14" i="5"/>
  <c r="PT14" i="5" s="1"/>
  <c r="PL14" i="5"/>
  <c r="PM14" i="5" s="1"/>
  <c r="PH14" i="5"/>
  <c r="PK14" i="5" s="1"/>
  <c r="PC14" i="5"/>
  <c r="PD14" i="5" s="1"/>
  <c r="OY14" i="5"/>
  <c r="PB14" i="5" s="1"/>
  <c r="OT14" i="5"/>
  <c r="OU14" i="5" s="1"/>
  <c r="OP14" i="5"/>
  <c r="OS14" i="5" s="1"/>
  <c r="OK14" i="5"/>
  <c r="OL14" i="5" s="1"/>
  <c r="OG14" i="5"/>
  <c r="OJ14" i="5" s="1"/>
  <c r="OB14" i="5"/>
  <c r="OC14" i="5" s="1"/>
  <c r="NX14" i="5"/>
  <c r="OA14" i="5" s="1"/>
  <c r="NS14" i="5"/>
  <c r="NT14" i="5" s="1"/>
  <c r="NO14" i="5"/>
  <c r="NR14" i="5" s="1"/>
  <c r="NJ14" i="5"/>
  <c r="NK14" i="5" s="1"/>
  <c r="NF14" i="5"/>
  <c r="NI14" i="5" s="1"/>
  <c r="NA14" i="5"/>
  <c r="NB14" i="5" s="1"/>
  <c r="MW14" i="5"/>
  <c r="MZ14" i="5" s="1"/>
  <c r="MR14" i="5"/>
  <c r="MS14" i="5" s="1"/>
  <c r="MN14" i="5"/>
  <c r="MQ14" i="5" s="1"/>
  <c r="MI14" i="5"/>
  <c r="MJ14" i="5" s="1"/>
  <c r="ME14" i="5"/>
  <c r="MH14" i="5" s="1"/>
  <c r="LZ14" i="5"/>
  <c r="MA14" i="5" s="1"/>
  <c r="LV14" i="5"/>
  <c r="LY14" i="5" s="1"/>
  <c r="LQ14" i="5"/>
  <c r="LR14" i="5" s="1"/>
  <c r="LM14" i="5"/>
  <c r="LP14" i="5" s="1"/>
  <c r="LG14" i="5"/>
  <c r="LH14" i="5" s="1"/>
  <c r="LC14" i="5"/>
  <c r="LF14" i="5" s="1"/>
  <c r="KX14" i="5"/>
  <c r="KY14" i="5" s="1"/>
  <c r="KZ14" i="5" s="1"/>
  <c r="KT14" i="5"/>
  <c r="KW14" i="5" s="1"/>
  <c r="KO14" i="5"/>
  <c r="KP14" i="5" s="1"/>
  <c r="KK14" i="5"/>
  <c r="KN14" i="5" s="1"/>
  <c r="KF14" i="5"/>
  <c r="KG14" i="5" s="1"/>
  <c r="KB14" i="5"/>
  <c r="KE14" i="5" s="1"/>
  <c r="JW14" i="5"/>
  <c r="JX14" i="5" s="1"/>
  <c r="JS14" i="5"/>
  <c r="JV14" i="5" s="1"/>
  <c r="JN14" i="5"/>
  <c r="JO14" i="5" s="1"/>
  <c r="JJ14" i="5"/>
  <c r="JM14" i="5" s="1"/>
  <c r="JE14" i="5"/>
  <c r="JF14" i="5" s="1"/>
  <c r="JA14" i="5"/>
  <c r="JD14" i="5" s="1"/>
  <c r="IV14" i="5"/>
  <c r="IW14" i="5" s="1"/>
  <c r="IX14" i="5" s="1"/>
  <c r="IR14" i="5"/>
  <c r="IU14" i="5" s="1"/>
  <c r="IM14" i="5"/>
  <c r="IN14" i="5" s="1"/>
  <c r="II14" i="5"/>
  <c r="IL14" i="5" s="1"/>
  <c r="ID14" i="5"/>
  <c r="IE14" i="5" s="1"/>
  <c r="HZ14" i="5"/>
  <c r="IC14" i="5" s="1"/>
  <c r="HU14" i="5"/>
  <c r="HV14" i="5" s="1"/>
  <c r="HQ14" i="5"/>
  <c r="HT14" i="5" s="1"/>
  <c r="HL14" i="5"/>
  <c r="HM14" i="5" s="1"/>
  <c r="HH14" i="5"/>
  <c r="HK14" i="5" s="1"/>
  <c r="HC14" i="5"/>
  <c r="HD14" i="5" s="1"/>
  <c r="GY14" i="5"/>
  <c r="HB14" i="5" s="1"/>
  <c r="GT14" i="5"/>
  <c r="GU14" i="5" s="1"/>
  <c r="GP14" i="5"/>
  <c r="GS14" i="5" s="1"/>
  <c r="GK14" i="5"/>
  <c r="GL14" i="5" s="1"/>
  <c r="GG14" i="5"/>
  <c r="GJ14" i="5" s="1"/>
  <c r="GB14" i="5"/>
  <c r="GC14" i="5" s="1"/>
  <c r="FX14" i="5"/>
  <c r="GA14" i="5" s="1"/>
  <c r="FS14" i="5"/>
  <c r="FT14" i="5" s="1"/>
  <c r="FO14" i="5"/>
  <c r="FR14" i="5" s="1"/>
  <c r="FJ14" i="5"/>
  <c r="FK14" i="5" s="1"/>
  <c r="FF14" i="5"/>
  <c r="FI14" i="5" s="1"/>
  <c r="FA14" i="5"/>
  <c r="FB14" i="5" s="1"/>
  <c r="EW14" i="5"/>
  <c r="EZ14" i="5" s="1"/>
  <c r="ER14" i="5"/>
  <c r="ES14" i="5" s="1"/>
  <c r="EN14" i="5"/>
  <c r="EQ14" i="5" s="1"/>
  <c r="EI14" i="5"/>
  <c r="EJ14" i="5" s="1"/>
  <c r="EE14" i="5"/>
  <c r="EH14" i="5" s="1"/>
  <c r="DZ14" i="5"/>
  <c r="EA14" i="5" s="1"/>
  <c r="DV14" i="5"/>
  <c r="DY14" i="5" s="1"/>
  <c r="DQ14" i="5"/>
  <c r="DR14" i="5" s="1"/>
  <c r="DM14" i="5"/>
  <c r="DP14" i="5" s="1"/>
  <c r="DH14" i="5"/>
  <c r="DI14" i="5" s="1"/>
  <c r="DD14" i="5"/>
  <c r="DG14" i="5" s="1"/>
  <c r="CY14" i="5"/>
  <c r="CZ14" i="5" s="1"/>
  <c r="CU14" i="5"/>
  <c r="CX14" i="5" s="1"/>
  <c r="CP14" i="5"/>
  <c r="CQ14" i="5" s="1"/>
  <c r="CL14" i="5"/>
  <c r="CO14" i="5" s="1"/>
  <c r="CD14" i="5"/>
  <c r="CG14" i="5" s="1"/>
  <c r="BV14" i="5"/>
  <c r="BY14" i="5" s="1"/>
  <c r="BQ14" i="5"/>
  <c r="BR14" i="5" s="1"/>
  <c r="BM14" i="5"/>
  <c r="BP14" i="5" s="1"/>
  <c r="BH14" i="5"/>
  <c r="BI14" i="5" s="1"/>
  <c r="BD14" i="5"/>
  <c r="BG14" i="5" s="1"/>
  <c r="AY14" i="5"/>
  <c r="AZ14" i="5" s="1"/>
  <c r="AU14" i="5"/>
  <c r="AX14" i="5" s="1"/>
  <c r="AP14" i="5"/>
  <c r="AQ14" i="5" s="1"/>
  <c r="AL14" i="5"/>
  <c r="AO14" i="5" s="1"/>
  <c r="AG14" i="5"/>
  <c r="AH14" i="5" s="1"/>
  <c r="AD14" i="5"/>
  <c r="Y14" i="5"/>
  <c r="Z14" i="5" s="1"/>
  <c r="V14" i="5"/>
  <c r="Q14" i="5"/>
  <c r="R14" i="5" s="1"/>
  <c r="M14" i="5"/>
  <c r="P14" i="5" s="1"/>
  <c r="H14" i="5"/>
  <c r="I14" i="5" s="1"/>
  <c r="D14" i="5"/>
  <c r="G14" i="5" s="1"/>
  <c r="VU13" i="5"/>
  <c r="VV13" i="5" s="1"/>
  <c r="VQ13" i="5"/>
  <c r="VT13" i="5" s="1"/>
  <c r="VL13" i="5"/>
  <c r="VM13" i="5" s="1"/>
  <c r="VH13" i="5"/>
  <c r="VK13" i="5" s="1"/>
  <c r="VC13" i="5"/>
  <c r="VD13" i="5" s="1"/>
  <c r="UY13" i="5"/>
  <c r="VB13" i="5" s="1"/>
  <c r="UT13" i="5"/>
  <c r="UU13" i="5" s="1"/>
  <c r="UP13" i="5"/>
  <c r="US13" i="5" s="1"/>
  <c r="UI13" i="5"/>
  <c r="UL13" i="5" s="1"/>
  <c r="UD13" i="5"/>
  <c r="UE13" i="5" s="1"/>
  <c r="TZ13" i="5"/>
  <c r="UC13" i="5" s="1"/>
  <c r="TS13" i="5"/>
  <c r="TV13" i="5" s="1"/>
  <c r="TN13" i="5"/>
  <c r="TO13" i="5" s="1"/>
  <c r="TJ13" i="5"/>
  <c r="TM13" i="5" s="1"/>
  <c r="TE13" i="5"/>
  <c r="TF13" i="5" s="1"/>
  <c r="TA13" i="5"/>
  <c r="TD13" i="5" s="1"/>
  <c r="SV13" i="5"/>
  <c r="SW13" i="5" s="1"/>
  <c r="SR13" i="5"/>
  <c r="SU13" i="5" s="1"/>
  <c r="SM13" i="5"/>
  <c r="SN13" i="5" s="1"/>
  <c r="SI13" i="5"/>
  <c r="SL13" i="5" s="1"/>
  <c r="SD13" i="5"/>
  <c r="SE13" i="5" s="1"/>
  <c r="RZ13" i="5"/>
  <c r="SC13" i="5" s="1"/>
  <c r="RU13" i="5"/>
  <c r="RV13" i="5" s="1"/>
  <c r="RQ13" i="5"/>
  <c r="RT13" i="5" s="1"/>
  <c r="RL13" i="5"/>
  <c r="RM13" i="5" s="1"/>
  <c r="RH13" i="5"/>
  <c r="RK13" i="5" s="1"/>
  <c r="RC13" i="5"/>
  <c r="RD13" i="5" s="1"/>
  <c r="QY13" i="5"/>
  <c r="RB13" i="5" s="1"/>
  <c r="QT13" i="5"/>
  <c r="QU13" i="5" s="1"/>
  <c r="QP13" i="5"/>
  <c r="QS13" i="5" s="1"/>
  <c r="QK13" i="5"/>
  <c r="QL13" i="5" s="1"/>
  <c r="QG13" i="5"/>
  <c r="QJ13" i="5" s="1"/>
  <c r="QB13" i="5"/>
  <c r="QC13" i="5" s="1"/>
  <c r="PX13" i="5"/>
  <c r="QA13" i="5" s="1"/>
  <c r="PQ13" i="5"/>
  <c r="PT13" i="5" s="1"/>
  <c r="PL13" i="5"/>
  <c r="PM13" i="5" s="1"/>
  <c r="PH13" i="5"/>
  <c r="PK13" i="5" s="1"/>
  <c r="PC13" i="5"/>
  <c r="PD13" i="5" s="1"/>
  <c r="OY13" i="5"/>
  <c r="PB13" i="5" s="1"/>
  <c r="OT13" i="5"/>
  <c r="OU13" i="5" s="1"/>
  <c r="OP13" i="5"/>
  <c r="OS13" i="5" s="1"/>
  <c r="OK13" i="5"/>
  <c r="OL13" i="5" s="1"/>
  <c r="OG13" i="5"/>
  <c r="OJ13" i="5" s="1"/>
  <c r="OB13" i="5"/>
  <c r="OC13" i="5" s="1"/>
  <c r="NX13" i="5"/>
  <c r="OA13" i="5" s="1"/>
  <c r="NS13" i="5"/>
  <c r="NT13" i="5" s="1"/>
  <c r="NO13" i="5"/>
  <c r="NR13" i="5" s="1"/>
  <c r="NJ13" i="5"/>
  <c r="NK13" i="5" s="1"/>
  <c r="NF13" i="5"/>
  <c r="NI13" i="5" s="1"/>
  <c r="NA13" i="5"/>
  <c r="NB13" i="5" s="1"/>
  <c r="MW13" i="5"/>
  <c r="MZ13" i="5" s="1"/>
  <c r="MR13" i="5"/>
  <c r="MS13" i="5" s="1"/>
  <c r="MN13" i="5"/>
  <c r="MQ13" i="5" s="1"/>
  <c r="MI13" i="5"/>
  <c r="MJ13" i="5" s="1"/>
  <c r="ME13" i="5"/>
  <c r="MH13" i="5" s="1"/>
  <c r="LZ13" i="5"/>
  <c r="MA13" i="5" s="1"/>
  <c r="LV13" i="5"/>
  <c r="LY13" i="5" s="1"/>
  <c r="LQ13" i="5"/>
  <c r="LR13" i="5" s="1"/>
  <c r="LM13" i="5"/>
  <c r="LP13" i="5" s="1"/>
  <c r="LG13" i="5"/>
  <c r="LH13" i="5" s="1"/>
  <c r="LC13" i="5"/>
  <c r="LF13" i="5" s="1"/>
  <c r="KX13" i="5"/>
  <c r="KY13" i="5" s="1"/>
  <c r="KT13" i="5"/>
  <c r="KW13" i="5" s="1"/>
  <c r="KO13" i="5"/>
  <c r="KP13" i="5" s="1"/>
  <c r="KK13" i="5"/>
  <c r="KN13" i="5" s="1"/>
  <c r="KF13" i="5"/>
  <c r="KG13" i="5" s="1"/>
  <c r="KB13" i="5"/>
  <c r="KE13" i="5" s="1"/>
  <c r="JW13" i="5"/>
  <c r="JX13" i="5" s="1"/>
  <c r="JS13" i="5"/>
  <c r="JV13" i="5" s="1"/>
  <c r="JN13" i="5"/>
  <c r="JO13" i="5" s="1"/>
  <c r="JJ13" i="5"/>
  <c r="JM13" i="5" s="1"/>
  <c r="JE13" i="5"/>
  <c r="JF13" i="5" s="1"/>
  <c r="JA13" i="5"/>
  <c r="JD13" i="5" s="1"/>
  <c r="IV13" i="5"/>
  <c r="IW13" i="5" s="1"/>
  <c r="IR13" i="5"/>
  <c r="IU13" i="5" s="1"/>
  <c r="IM13" i="5"/>
  <c r="IN13" i="5" s="1"/>
  <c r="II13" i="5"/>
  <c r="IL13" i="5" s="1"/>
  <c r="ID13" i="5"/>
  <c r="IE13" i="5" s="1"/>
  <c r="HZ13" i="5"/>
  <c r="IC13" i="5" s="1"/>
  <c r="HU13" i="5"/>
  <c r="HV13" i="5" s="1"/>
  <c r="HQ13" i="5"/>
  <c r="HT13" i="5" s="1"/>
  <c r="HL13" i="5"/>
  <c r="HM13" i="5" s="1"/>
  <c r="HH13" i="5"/>
  <c r="HK13" i="5" s="1"/>
  <c r="HC13" i="5"/>
  <c r="HD13" i="5" s="1"/>
  <c r="GY13" i="5"/>
  <c r="HB13" i="5" s="1"/>
  <c r="GT13" i="5"/>
  <c r="GU13" i="5" s="1"/>
  <c r="GP13" i="5"/>
  <c r="GS13" i="5" s="1"/>
  <c r="GK13" i="5"/>
  <c r="GL13" i="5" s="1"/>
  <c r="GG13" i="5"/>
  <c r="GJ13" i="5" s="1"/>
  <c r="GB13" i="5"/>
  <c r="GC13" i="5" s="1"/>
  <c r="FX13" i="5"/>
  <c r="GA13" i="5" s="1"/>
  <c r="FS13" i="5"/>
  <c r="FT13" i="5" s="1"/>
  <c r="FO13" i="5"/>
  <c r="FR13" i="5" s="1"/>
  <c r="FJ13" i="5"/>
  <c r="FK13" i="5" s="1"/>
  <c r="FF13" i="5"/>
  <c r="FI13" i="5" s="1"/>
  <c r="FA13" i="5"/>
  <c r="FB13" i="5" s="1"/>
  <c r="EW13" i="5"/>
  <c r="EZ13" i="5" s="1"/>
  <c r="ER13" i="5"/>
  <c r="ES13" i="5" s="1"/>
  <c r="EN13" i="5"/>
  <c r="EQ13" i="5" s="1"/>
  <c r="EI13" i="5"/>
  <c r="EJ13" i="5" s="1"/>
  <c r="EE13" i="5"/>
  <c r="EH13" i="5" s="1"/>
  <c r="DZ13" i="5"/>
  <c r="EA13" i="5" s="1"/>
  <c r="DV13" i="5"/>
  <c r="DY13" i="5" s="1"/>
  <c r="DQ13" i="5"/>
  <c r="DR13" i="5" s="1"/>
  <c r="DM13" i="5"/>
  <c r="DP13" i="5" s="1"/>
  <c r="DH13" i="5"/>
  <c r="DI13" i="5" s="1"/>
  <c r="DD13" i="5"/>
  <c r="DG13" i="5" s="1"/>
  <c r="CY13" i="5"/>
  <c r="CZ13" i="5" s="1"/>
  <c r="CU13" i="5"/>
  <c r="CX13" i="5" s="1"/>
  <c r="CP13" i="5"/>
  <c r="CQ13" i="5" s="1"/>
  <c r="CL13" i="5"/>
  <c r="CO13" i="5" s="1"/>
  <c r="CD13" i="5"/>
  <c r="CG13" i="5" s="1"/>
  <c r="BV13" i="5"/>
  <c r="BY13" i="5" s="1"/>
  <c r="BQ13" i="5"/>
  <c r="BR13" i="5" s="1"/>
  <c r="BM13" i="5"/>
  <c r="BP13" i="5" s="1"/>
  <c r="BH13" i="5"/>
  <c r="BI13" i="5" s="1"/>
  <c r="BD13" i="5"/>
  <c r="BG13" i="5" s="1"/>
  <c r="AY13" i="5"/>
  <c r="AZ13" i="5" s="1"/>
  <c r="AU13" i="5"/>
  <c r="AX13" i="5" s="1"/>
  <c r="AP13" i="5"/>
  <c r="AQ13" i="5" s="1"/>
  <c r="AL13" i="5"/>
  <c r="AO13" i="5" s="1"/>
  <c r="AG13" i="5"/>
  <c r="AH13" i="5" s="1"/>
  <c r="AD13" i="5"/>
  <c r="Y13" i="5"/>
  <c r="Z13" i="5" s="1"/>
  <c r="V13" i="5"/>
  <c r="Q13" i="5"/>
  <c r="R13" i="5" s="1"/>
  <c r="M13" i="5"/>
  <c r="P13" i="5" s="1"/>
  <c r="H13" i="5"/>
  <c r="I13" i="5" s="1"/>
  <c r="D13" i="5"/>
  <c r="G13" i="5" s="1"/>
  <c r="VU12" i="5"/>
  <c r="VV12" i="5" s="1"/>
  <c r="VQ12" i="5"/>
  <c r="VT12" i="5" s="1"/>
  <c r="VL12" i="5"/>
  <c r="VM12" i="5" s="1"/>
  <c r="VH12" i="5"/>
  <c r="VK12" i="5" s="1"/>
  <c r="VC12" i="5"/>
  <c r="VD12" i="5" s="1"/>
  <c r="UY12" i="5"/>
  <c r="VB12" i="5" s="1"/>
  <c r="UT12" i="5"/>
  <c r="UU12" i="5" s="1"/>
  <c r="UP12" i="5"/>
  <c r="US12" i="5" s="1"/>
  <c r="UI12" i="5"/>
  <c r="UL12" i="5" s="1"/>
  <c r="UD12" i="5"/>
  <c r="UE12" i="5" s="1"/>
  <c r="TZ12" i="5"/>
  <c r="UC12" i="5" s="1"/>
  <c r="TS12" i="5"/>
  <c r="TV12" i="5" s="1"/>
  <c r="TN12" i="5"/>
  <c r="TO12" i="5" s="1"/>
  <c r="TJ12" i="5"/>
  <c r="TM12" i="5" s="1"/>
  <c r="TE12" i="5"/>
  <c r="TF12" i="5" s="1"/>
  <c r="TA12" i="5"/>
  <c r="TD12" i="5" s="1"/>
  <c r="SV12" i="5"/>
  <c r="SW12" i="5" s="1"/>
  <c r="SR12" i="5"/>
  <c r="SU12" i="5" s="1"/>
  <c r="SM12" i="5"/>
  <c r="SN12" i="5" s="1"/>
  <c r="SI12" i="5"/>
  <c r="SL12" i="5" s="1"/>
  <c r="SD12" i="5"/>
  <c r="SE12" i="5" s="1"/>
  <c r="RZ12" i="5"/>
  <c r="SC12" i="5" s="1"/>
  <c r="RU12" i="5"/>
  <c r="RV12" i="5" s="1"/>
  <c r="RQ12" i="5"/>
  <c r="RT12" i="5" s="1"/>
  <c r="RL12" i="5"/>
  <c r="RM12" i="5" s="1"/>
  <c r="RH12" i="5"/>
  <c r="RK12" i="5" s="1"/>
  <c r="RC12" i="5"/>
  <c r="RD12" i="5" s="1"/>
  <c r="QY12" i="5"/>
  <c r="RB12" i="5" s="1"/>
  <c r="QT12" i="5"/>
  <c r="QU12" i="5" s="1"/>
  <c r="QP12" i="5"/>
  <c r="QS12" i="5" s="1"/>
  <c r="QK12" i="5"/>
  <c r="QL12" i="5" s="1"/>
  <c r="QG12" i="5"/>
  <c r="QJ12" i="5" s="1"/>
  <c r="QB12" i="5"/>
  <c r="QC12" i="5" s="1"/>
  <c r="PX12" i="5"/>
  <c r="QA12" i="5" s="1"/>
  <c r="PQ12" i="5"/>
  <c r="PT12" i="5" s="1"/>
  <c r="PL12" i="5"/>
  <c r="PM12" i="5" s="1"/>
  <c r="PH12" i="5"/>
  <c r="PK12" i="5" s="1"/>
  <c r="PC12" i="5"/>
  <c r="PD12" i="5" s="1"/>
  <c r="OY12" i="5"/>
  <c r="PB12" i="5" s="1"/>
  <c r="OT12" i="5"/>
  <c r="OU12" i="5" s="1"/>
  <c r="OP12" i="5"/>
  <c r="OS12" i="5" s="1"/>
  <c r="OK12" i="5"/>
  <c r="OL12" i="5" s="1"/>
  <c r="OG12" i="5"/>
  <c r="OJ12" i="5" s="1"/>
  <c r="OB12" i="5"/>
  <c r="OC12" i="5" s="1"/>
  <c r="NX12" i="5"/>
  <c r="OA12" i="5" s="1"/>
  <c r="NS12" i="5"/>
  <c r="NT12" i="5" s="1"/>
  <c r="NO12" i="5"/>
  <c r="NR12" i="5" s="1"/>
  <c r="NJ12" i="5"/>
  <c r="NK12" i="5" s="1"/>
  <c r="NF12" i="5"/>
  <c r="NI12" i="5" s="1"/>
  <c r="NA12" i="5"/>
  <c r="NB12" i="5" s="1"/>
  <c r="MW12" i="5"/>
  <c r="MZ12" i="5" s="1"/>
  <c r="MR12" i="5"/>
  <c r="MS12" i="5" s="1"/>
  <c r="MN12" i="5"/>
  <c r="MQ12" i="5" s="1"/>
  <c r="MI12" i="5"/>
  <c r="MJ12" i="5" s="1"/>
  <c r="ME12" i="5"/>
  <c r="MH12" i="5" s="1"/>
  <c r="LZ12" i="5"/>
  <c r="MA12" i="5" s="1"/>
  <c r="LV12" i="5"/>
  <c r="LY12" i="5" s="1"/>
  <c r="LQ12" i="5"/>
  <c r="LR12" i="5" s="1"/>
  <c r="LM12" i="5"/>
  <c r="LP12" i="5" s="1"/>
  <c r="LG12" i="5"/>
  <c r="LH12" i="5" s="1"/>
  <c r="LC12" i="5"/>
  <c r="LF12" i="5" s="1"/>
  <c r="KX12" i="5"/>
  <c r="KY12" i="5" s="1"/>
  <c r="KT12" i="5"/>
  <c r="KW12" i="5" s="1"/>
  <c r="KO12" i="5"/>
  <c r="KP12" i="5" s="1"/>
  <c r="KK12" i="5"/>
  <c r="KN12" i="5" s="1"/>
  <c r="KF12" i="5"/>
  <c r="KG12" i="5" s="1"/>
  <c r="KB12" i="5"/>
  <c r="KE12" i="5" s="1"/>
  <c r="JW12" i="5"/>
  <c r="JX12" i="5" s="1"/>
  <c r="JS12" i="5"/>
  <c r="JV12" i="5" s="1"/>
  <c r="JN12" i="5"/>
  <c r="JO12" i="5" s="1"/>
  <c r="JJ12" i="5"/>
  <c r="JM12" i="5" s="1"/>
  <c r="JE12" i="5"/>
  <c r="JF12" i="5" s="1"/>
  <c r="JA12" i="5"/>
  <c r="JD12" i="5" s="1"/>
  <c r="IV12" i="5"/>
  <c r="IW12" i="5" s="1"/>
  <c r="IR12" i="5"/>
  <c r="IU12" i="5" s="1"/>
  <c r="IM12" i="5"/>
  <c r="IN12" i="5" s="1"/>
  <c r="II12" i="5"/>
  <c r="IL12" i="5" s="1"/>
  <c r="ID12" i="5"/>
  <c r="IE12" i="5" s="1"/>
  <c r="HZ12" i="5"/>
  <c r="IC12" i="5" s="1"/>
  <c r="HU12" i="5"/>
  <c r="HV12" i="5" s="1"/>
  <c r="HQ12" i="5"/>
  <c r="HT12" i="5" s="1"/>
  <c r="HL12" i="5"/>
  <c r="HM12" i="5" s="1"/>
  <c r="HH12" i="5"/>
  <c r="HK12" i="5" s="1"/>
  <c r="HC12" i="5"/>
  <c r="HD12" i="5" s="1"/>
  <c r="GY12" i="5"/>
  <c r="HB12" i="5" s="1"/>
  <c r="GT12" i="5"/>
  <c r="GU12" i="5" s="1"/>
  <c r="GP12" i="5"/>
  <c r="GS12" i="5" s="1"/>
  <c r="GK12" i="5"/>
  <c r="GL12" i="5" s="1"/>
  <c r="GG12" i="5"/>
  <c r="GJ12" i="5" s="1"/>
  <c r="GB12" i="5"/>
  <c r="GC12" i="5" s="1"/>
  <c r="FX12" i="5"/>
  <c r="GA12" i="5" s="1"/>
  <c r="FS12" i="5"/>
  <c r="FT12" i="5" s="1"/>
  <c r="FO12" i="5"/>
  <c r="FR12" i="5" s="1"/>
  <c r="FJ12" i="5"/>
  <c r="FK12" i="5" s="1"/>
  <c r="FF12" i="5"/>
  <c r="FI12" i="5" s="1"/>
  <c r="FA12" i="5"/>
  <c r="FB12" i="5" s="1"/>
  <c r="EW12" i="5"/>
  <c r="EZ12" i="5" s="1"/>
  <c r="ER12" i="5"/>
  <c r="ES12" i="5" s="1"/>
  <c r="EN12" i="5"/>
  <c r="EQ12" i="5" s="1"/>
  <c r="EI12" i="5"/>
  <c r="EJ12" i="5" s="1"/>
  <c r="EE12" i="5"/>
  <c r="EH12" i="5" s="1"/>
  <c r="DZ12" i="5"/>
  <c r="EA12" i="5" s="1"/>
  <c r="DV12" i="5"/>
  <c r="DY12" i="5" s="1"/>
  <c r="DQ12" i="5"/>
  <c r="DR12" i="5" s="1"/>
  <c r="DM12" i="5"/>
  <c r="DP12" i="5" s="1"/>
  <c r="DH12" i="5"/>
  <c r="DI12" i="5" s="1"/>
  <c r="DD12" i="5"/>
  <c r="DG12" i="5" s="1"/>
  <c r="CY12" i="5"/>
  <c r="CZ12" i="5" s="1"/>
  <c r="CU12" i="5"/>
  <c r="CX12" i="5" s="1"/>
  <c r="CP12" i="5"/>
  <c r="CQ12" i="5" s="1"/>
  <c r="CL12" i="5"/>
  <c r="CO12" i="5" s="1"/>
  <c r="CD12" i="5"/>
  <c r="CG12" i="5" s="1"/>
  <c r="BV12" i="5"/>
  <c r="BY12" i="5" s="1"/>
  <c r="BQ12" i="5"/>
  <c r="BR12" i="5" s="1"/>
  <c r="BM12" i="5"/>
  <c r="BP12" i="5" s="1"/>
  <c r="BH12" i="5"/>
  <c r="BI12" i="5" s="1"/>
  <c r="BD12" i="5"/>
  <c r="BG12" i="5" s="1"/>
  <c r="AY12" i="5"/>
  <c r="AZ12" i="5" s="1"/>
  <c r="AU12" i="5"/>
  <c r="AX12" i="5" s="1"/>
  <c r="AP12" i="5"/>
  <c r="AQ12" i="5" s="1"/>
  <c r="AL12" i="5"/>
  <c r="AO12" i="5" s="1"/>
  <c r="AG12" i="5"/>
  <c r="AH12" i="5" s="1"/>
  <c r="AD12" i="5"/>
  <c r="Y12" i="5"/>
  <c r="Z12" i="5" s="1"/>
  <c r="V12" i="5"/>
  <c r="Q12" i="5"/>
  <c r="R12" i="5" s="1"/>
  <c r="M12" i="5"/>
  <c r="P12" i="5" s="1"/>
  <c r="H12" i="5"/>
  <c r="I12" i="5" s="1"/>
  <c r="D12" i="5"/>
  <c r="G12" i="5" s="1"/>
  <c r="VU11" i="5"/>
  <c r="VV11" i="5" s="1"/>
  <c r="VQ11" i="5"/>
  <c r="VT11" i="5" s="1"/>
  <c r="VL11" i="5"/>
  <c r="VM11" i="5" s="1"/>
  <c r="VH11" i="5"/>
  <c r="VK11" i="5" s="1"/>
  <c r="VC11" i="5"/>
  <c r="VD11" i="5" s="1"/>
  <c r="UY11" i="5"/>
  <c r="VB11" i="5" s="1"/>
  <c r="UT11" i="5"/>
  <c r="UU11" i="5" s="1"/>
  <c r="UP11" i="5"/>
  <c r="US11" i="5" s="1"/>
  <c r="UI11" i="5"/>
  <c r="UL11" i="5" s="1"/>
  <c r="UD11" i="5"/>
  <c r="UE11" i="5" s="1"/>
  <c r="TZ11" i="5"/>
  <c r="UC11" i="5" s="1"/>
  <c r="TS11" i="5"/>
  <c r="TV11" i="5" s="1"/>
  <c r="TN11" i="5"/>
  <c r="TO11" i="5" s="1"/>
  <c r="TJ11" i="5"/>
  <c r="TM11" i="5" s="1"/>
  <c r="TE11" i="5"/>
  <c r="TF11" i="5" s="1"/>
  <c r="TA11" i="5"/>
  <c r="TD11" i="5" s="1"/>
  <c r="SV11" i="5"/>
  <c r="SW11" i="5" s="1"/>
  <c r="SR11" i="5"/>
  <c r="SU11" i="5" s="1"/>
  <c r="SM11" i="5"/>
  <c r="SN11" i="5" s="1"/>
  <c r="SI11" i="5"/>
  <c r="SL11" i="5" s="1"/>
  <c r="SD11" i="5"/>
  <c r="SE11" i="5" s="1"/>
  <c r="RZ11" i="5"/>
  <c r="SC11" i="5" s="1"/>
  <c r="RU11" i="5"/>
  <c r="RV11" i="5" s="1"/>
  <c r="RQ11" i="5"/>
  <c r="RT11" i="5" s="1"/>
  <c r="RL11" i="5"/>
  <c r="RM11" i="5" s="1"/>
  <c r="RH11" i="5"/>
  <c r="RK11" i="5" s="1"/>
  <c r="RC11" i="5"/>
  <c r="RD11" i="5" s="1"/>
  <c r="QY11" i="5"/>
  <c r="RB11" i="5" s="1"/>
  <c r="QT11" i="5"/>
  <c r="QU11" i="5" s="1"/>
  <c r="QP11" i="5"/>
  <c r="QS11" i="5" s="1"/>
  <c r="QK11" i="5"/>
  <c r="QL11" i="5" s="1"/>
  <c r="QG11" i="5"/>
  <c r="QJ11" i="5" s="1"/>
  <c r="QB11" i="5"/>
  <c r="QC11" i="5" s="1"/>
  <c r="PX11" i="5"/>
  <c r="QA11" i="5" s="1"/>
  <c r="PQ11" i="5"/>
  <c r="PT11" i="5" s="1"/>
  <c r="PL11" i="5"/>
  <c r="PM11" i="5" s="1"/>
  <c r="PH11" i="5"/>
  <c r="PK11" i="5" s="1"/>
  <c r="PC11" i="5"/>
  <c r="PD11" i="5" s="1"/>
  <c r="OY11" i="5"/>
  <c r="PB11" i="5" s="1"/>
  <c r="OT11" i="5"/>
  <c r="OU11" i="5" s="1"/>
  <c r="OP11" i="5"/>
  <c r="OS11" i="5" s="1"/>
  <c r="OK11" i="5"/>
  <c r="OL11" i="5" s="1"/>
  <c r="OG11" i="5"/>
  <c r="OJ11" i="5" s="1"/>
  <c r="OB11" i="5"/>
  <c r="OC11" i="5" s="1"/>
  <c r="OD11" i="5" s="1"/>
  <c r="NX11" i="5"/>
  <c r="OA11" i="5" s="1"/>
  <c r="NS11" i="5"/>
  <c r="NT11" i="5" s="1"/>
  <c r="NO11" i="5"/>
  <c r="NR11" i="5" s="1"/>
  <c r="NJ11" i="5"/>
  <c r="NK11" i="5" s="1"/>
  <c r="NF11" i="5"/>
  <c r="NI11" i="5" s="1"/>
  <c r="NA11" i="5"/>
  <c r="NB11" i="5" s="1"/>
  <c r="MW11" i="5"/>
  <c r="MZ11" i="5" s="1"/>
  <c r="MR11" i="5"/>
  <c r="MS11" i="5" s="1"/>
  <c r="MN11" i="5"/>
  <c r="MQ11" i="5" s="1"/>
  <c r="MI11" i="5"/>
  <c r="MJ11" i="5" s="1"/>
  <c r="ME11" i="5"/>
  <c r="MH11" i="5" s="1"/>
  <c r="LZ11" i="5"/>
  <c r="MA11" i="5" s="1"/>
  <c r="LV11" i="5"/>
  <c r="LY11" i="5" s="1"/>
  <c r="LQ11" i="5"/>
  <c r="LR11" i="5" s="1"/>
  <c r="LM11" i="5"/>
  <c r="LP11" i="5" s="1"/>
  <c r="LG11" i="5"/>
  <c r="LH11" i="5" s="1"/>
  <c r="LC11" i="5"/>
  <c r="LF11" i="5" s="1"/>
  <c r="KX11" i="5"/>
  <c r="KY11" i="5" s="1"/>
  <c r="KT11" i="5"/>
  <c r="KW11" i="5" s="1"/>
  <c r="KO11" i="5"/>
  <c r="KP11" i="5" s="1"/>
  <c r="KK11" i="5"/>
  <c r="KN11" i="5" s="1"/>
  <c r="KF11" i="5"/>
  <c r="KG11" i="5" s="1"/>
  <c r="KB11" i="5"/>
  <c r="KE11" i="5" s="1"/>
  <c r="JW11" i="5"/>
  <c r="JX11" i="5" s="1"/>
  <c r="JS11" i="5"/>
  <c r="JV11" i="5" s="1"/>
  <c r="JN11" i="5"/>
  <c r="JO11" i="5" s="1"/>
  <c r="JJ11" i="5"/>
  <c r="JM11" i="5" s="1"/>
  <c r="JE11" i="5"/>
  <c r="JF11" i="5" s="1"/>
  <c r="JA11" i="5"/>
  <c r="JD11" i="5" s="1"/>
  <c r="IV11" i="5"/>
  <c r="IW11" i="5" s="1"/>
  <c r="IR11" i="5"/>
  <c r="IU11" i="5" s="1"/>
  <c r="IM11" i="5"/>
  <c r="IN11" i="5" s="1"/>
  <c r="II11" i="5"/>
  <c r="IL11" i="5" s="1"/>
  <c r="ID11" i="5"/>
  <c r="IE11" i="5" s="1"/>
  <c r="HZ11" i="5"/>
  <c r="IC11" i="5" s="1"/>
  <c r="HU11" i="5"/>
  <c r="HV11" i="5" s="1"/>
  <c r="HQ11" i="5"/>
  <c r="HT11" i="5" s="1"/>
  <c r="HL11" i="5"/>
  <c r="HM11" i="5" s="1"/>
  <c r="HH11" i="5"/>
  <c r="HK11" i="5" s="1"/>
  <c r="HC11" i="5"/>
  <c r="HD11" i="5" s="1"/>
  <c r="GY11" i="5"/>
  <c r="HB11" i="5" s="1"/>
  <c r="GT11" i="5"/>
  <c r="GU11" i="5" s="1"/>
  <c r="GP11" i="5"/>
  <c r="GS11" i="5" s="1"/>
  <c r="GK11" i="5"/>
  <c r="GL11" i="5" s="1"/>
  <c r="GG11" i="5"/>
  <c r="GJ11" i="5" s="1"/>
  <c r="GB11" i="5"/>
  <c r="GC11" i="5" s="1"/>
  <c r="FX11" i="5"/>
  <c r="GA11" i="5" s="1"/>
  <c r="FS11" i="5"/>
  <c r="FT11" i="5" s="1"/>
  <c r="FO11" i="5"/>
  <c r="FR11" i="5" s="1"/>
  <c r="FJ11" i="5"/>
  <c r="FK11" i="5" s="1"/>
  <c r="FF11" i="5"/>
  <c r="FI11" i="5" s="1"/>
  <c r="FA11" i="5"/>
  <c r="FB11" i="5" s="1"/>
  <c r="EW11" i="5"/>
  <c r="EZ11" i="5" s="1"/>
  <c r="ER11" i="5"/>
  <c r="ES11" i="5" s="1"/>
  <c r="EN11" i="5"/>
  <c r="EQ11" i="5" s="1"/>
  <c r="EI11" i="5"/>
  <c r="EJ11" i="5" s="1"/>
  <c r="EE11" i="5"/>
  <c r="EH11" i="5" s="1"/>
  <c r="DZ11" i="5"/>
  <c r="EA11" i="5" s="1"/>
  <c r="DV11" i="5"/>
  <c r="DY11" i="5" s="1"/>
  <c r="DQ11" i="5"/>
  <c r="DR11" i="5" s="1"/>
  <c r="DM11" i="5"/>
  <c r="DP11" i="5" s="1"/>
  <c r="DH11" i="5"/>
  <c r="DI11" i="5" s="1"/>
  <c r="DD11" i="5"/>
  <c r="DG11" i="5" s="1"/>
  <c r="CY11" i="5"/>
  <c r="CZ11" i="5" s="1"/>
  <c r="CU11" i="5"/>
  <c r="CX11" i="5" s="1"/>
  <c r="CP11" i="5"/>
  <c r="CQ11" i="5" s="1"/>
  <c r="CL11" i="5"/>
  <c r="CO11" i="5" s="1"/>
  <c r="CD11" i="5"/>
  <c r="CG11" i="5" s="1"/>
  <c r="BV11" i="5"/>
  <c r="BY11" i="5" s="1"/>
  <c r="BQ11" i="5"/>
  <c r="BR11" i="5" s="1"/>
  <c r="BM11" i="5"/>
  <c r="BP11" i="5" s="1"/>
  <c r="BH11" i="5"/>
  <c r="BI11" i="5" s="1"/>
  <c r="BD11" i="5"/>
  <c r="BG11" i="5" s="1"/>
  <c r="AY11" i="5"/>
  <c r="AZ11" i="5" s="1"/>
  <c r="AU11" i="5"/>
  <c r="AX11" i="5" s="1"/>
  <c r="AP11" i="5"/>
  <c r="AQ11" i="5" s="1"/>
  <c r="AL11" i="5"/>
  <c r="AO11" i="5" s="1"/>
  <c r="AG11" i="5"/>
  <c r="AH11" i="5" s="1"/>
  <c r="AD11" i="5"/>
  <c r="Y11" i="5"/>
  <c r="Z11" i="5" s="1"/>
  <c r="V11" i="5"/>
  <c r="Q11" i="5"/>
  <c r="R11" i="5" s="1"/>
  <c r="M11" i="5"/>
  <c r="P11" i="5" s="1"/>
  <c r="H11" i="5"/>
  <c r="I11" i="5" s="1"/>
  <c r="D11" i="5"/>
  <c r="G11" i="5" s="1"/>
  <c r="VU10" i="5"/>
  <c r="VV10" i="5" s="1"/>
  <c r="VQ10" i="5"/>
  <c r="VT10" i="5" s="1"/>
  <c r="VL10" i="5"/>
  <c r="VM10" i="5" s="1"/>
  <c r="VH10" i="5"/>
  <c r="VK10" i="5" s="1"/>
  <c r="VC10" i="5"/>
  <c r="VD10" i="5" s="1"/>
  <c r="UY10" i="5"/>
  <c r="VB10" i="5" s="1"/>
  <c r="UT10" i="5"/>
  <c r="UU10" i="5" s="1"/>
  <c r="UP10" i="5"/>
  <c r="US10" i="5" s="1"/>
  <c r="UI10" i="5"/>
  <c r="UL10" i="5" s="1"/>
  <c r="UD10" i="5"/>
  <c r="UE10" i="5" s="1"/>
  <c r="TZ10" i="5"/>
  <c r="UC10" i="5" s="1"/>
  <c r="TS10" i="5"/>
  <c r="TV10" i="5" s="1"/>
  <c r="TN10" i="5"/>
  <c r="TO10" i="5" s="1"/>
  <c r="TJ10" i="5"/>
  <c r="TM10" i="5" s="1"/>
  <c r="TE10" i="5"/>
  <c r="TF10" i="5" s="1"/>
  <c r="TA10" i="5"/>
  <c r="TD10" i="5" s="1"/>
  <c r="SV10" i="5"/>
  <c r="SW10" i="5" s="1"/>
  <c r="SR10" i="5"/>
  <c r="SU10" i="5" s="1"/>
  <c r="SM10" i="5"/>
  <c r="SN10" i="5" s="1"/>
  <c r="SI10" i="5"/>
  <c r="SL10" i="5" s="1"/>
  <c r="SD10" i="5"/>
  <c r="SE10" i="5" s="1"/>
  <c r="RZ10" i="5"/>
  <c r="SC10" i="5" s="1"/>
  <c r="RU10" i="5"/>
  <c r="RV10" i="5" s="1"/>
  <c r="RQ10" i="5"/>
  <c r="RT10" i="5" s="1"/>
  <c r="RL10" i="5"/>
  <c r="RM10" i="5" s="1"/>
  <c r="RH10" i="5"/>
  <c r="RK10" i="5" s="1"/>
  <c r="RC10" i="5"/>
  <c r="RD10" i="5" s="1"/>
  <c r="QY10" i="5"/>
  <c r="RB10" i="5" s="1"/>
  <c r="QT10" i="5"/>
  <c r="QU10" i="5" s="1"/>
  <c r="QP10" i="5"/>
  <c r="QS10" i="5" s="1"/>
  <c r="QK10" i="5"/>
  <c r="QL10" i="5" s="1"/>
  <c r="QG10" i="5"/>
  <c r="QJ10" i="5" s="1"/>
  <c r="QB10" i="5"/>
  <c r="QC10" i="5" s="1"/>
  <c r="PX10" i="5"/>
  <c r="QA10" i="5" s="1"/>
  <c r="PQ10" i="5"/>
  <c r="PT10" i="5" s="1"/>
  <c r="PL10" i="5"/>
  <c r="PM10" i="5" s="1"/>
  <c r="PH10" i="5"/>
  <c r="PK10" i="5" s="1"/>
  <c r="PC10" i="5"/>
  <c r="PD10" i="5" s="1"/>
  <c r="OY10" i="5"/>
  <c r="PB10" i="5" s="1"/>
  <c r="OT10" i="5"/>
  <c r="OU10" i="5" s="1"/>
  <c r="OP10" i="5"/>
  <c r="OS10" i="5" s="1"/>
  <c r="OK10" i="5"/>
  <c r="OL10" i="5" s="1"/>
  <c r="OG10" i="5"/>
  <c r="OJ10" i="5" s="1"/>
  <c r="OB10" i="5"/>
  <c r="OC10" i="5" s="1"/>
  <c r="OD10" i="5" s="1"/>
  <c r="NX10" i="5"/>
  <c r="OA10" i="5" s="1"/>
  <c r="NS10" i="5"/>
  <c r="NT10" i="5" s="1"/>
  <c r="NO10" i="5"/>
  <c r="NR10" i="5" s="1"/>
  <c r="NJ10" i="5"/>
  <c r="NK10" i="5" s="1"/>
  <c r="NF10" i="5"/>
  <c r="NI10" i="5" s="1"/>
  <c r="NA10" i="5"/>
  <c r="NB10" i="5" s="1"/>
  <c r="MW10" i="5"/>
  <c r="MZ10" i="5" s="1"/>
  <c r="MR10" i="5"/>
  <c r="MS10" i="5" s="1"/>
  <c r="MN10" i="5"/>
  <c r="MQ10" i="5" s="1"/>
  <c r="MI10" i="5"/>
  <c r="MJ10" i="5" s="1"/>
  <c r="ME10" i="5"/>
  <c r="MH10" i="5" s="1"/>
  <c r="LZ10" i="5"/>
  <c r="MA10" i="5" s="1"/>
  <c r="LV10" i="5"/>
  <c r="LY10" i="5" s="1"/>
  <c r="LQ10" i="5"/>
  <c r="LR10" i="5" s="1"/>
  <c r="LM10" i="5"/>
  <c r="LP10" i="5" s="1"/>
  <c r="LG10" i="5"/>
  <c r="LH10" i="5" s="1"/>
  <c r="LI10" i="5" s="1"/>
  <c r="LC10" i="5"/>
  <c r="LF10" i="5" s="1"/>
  <c r="KX10" i="5"/>
  <c r="KY10" i="5" s="1"/>
  <c r="KT10" i="5"/>
  <c r="KW10" i="5" s="1"/>
  <c r="KO10" i="5"/>
  <c r="KP10" i="5" s="1"/>
  <c r="KK10" i="5"/>
  <c r="KN10" i="5" s="1"/>
  <c r="KF10" i="5"/>
  <c r="KG10" i="5" s="1"/>
  <c r="KB10" i="5"/>
  <c r="KE10" i="5" s="1"/>
  <c r="JW10" i="5"/>
  <c r="JX10" i="5" s="1"/>
  <c r="JS10" i="5"/>
  <c r="JV10" i="5" s="1"/>
  <c r="JN10" i="5"/>
  <c r="JO10" i="5" s="1"/>
  <c r="JJ10" i="5"/>
  <c r="JM10" i="5" s="1"/>
  <c r="JE10" i="5"/>
  <c r="JF10" i="5" s="1"/>
  <c r="JA10" i="5"/>
  <c r="JD10" i="5" s="1"/>
  <c r="IV10" i="5"/>
  <c r="IW10" i="5" s="1"/>
  <c r="IR10" i="5"/>
  <c r="IU10" i="5" s="1"/>
  <c r="IM10" i="5"/>
  <c r="IN10" i="5" s="1"/>
  <c r="II10" i="5"/>
  <c r="IL10" i="5" s="1"/>
  <c r="ID10" i="5"/>
  <c r="IE10" i="5" s="1"/>
  <c r="HZ10" i="5"/>
  <c r="IC10" i="5" s="1"/>
  <c r="HU10" i="5"/>
  <c r="HV10" i="5" s="1"/>
  <c r="HQ10" i="5"/>
  <c r="HT10" i="5" s="1"/>
  <c r="HL10" i="5"/>
  <c r="HM10" i="5" s="1"/>
  <c r="HH10" i="5"/>
  <c r="HK10" i="5" s="1"/>
  <c r="HC10" i="5"/>
  <c r="HD10" i="5" s="1"/>
  <c r="GY10" i="5"/>
  <c r="HB10" i="5" s="1"/>
  <c r="GT10" i="5"/>
  <c r="GU10" i="5" s="1"/>
  <c r="GP10" i="5"/>
  <c r="GS10" i="5" s="1"/>
  <c r="GK10" i="5"/>
  <c r="GL10" i="5" s="1"/>
  <c r="GG10" i="5"/>
  <c r="GJ10" i="5" s="1"/>
  <c r="GB10" i="5"/>
  <c r="GC10" i="5" s="1"/>
  <c r="FX10" i="5"/>
  <c r="GA10" i="5" s="1"/>
  <c r="FS10" i="5"/>
  <c r="FT10" i="5" s="1"/>
  <c r="FO10" i="5"/>
  <c r="FR10" i="5" s="1"/>
  <c r="FJ10" i="5"/>
  <c r="FK10" i="5" s="1"/>
  <c r="FF10" i="5"/>
  <c r="FI10" i="5" s="1"/>
  <c r="FA10" i="5"/>
  <c r="FB10" i="5" s="1"/>
  <c r="EW10" i="5"/>
  <c r="EZ10" i="5" s="1"/>
  <c r="ER10" i="5"/>
  <c r="ES10" i="5" s="1"/>
  <c r="EN10" i="5"/>
  <c r="EQ10" i="5" s="1"/>
  <c r="EI10" i="5"/>
  <c r="EJ10" i="5" s="1"/>
  <c r="EE10" i="5"/>
  <c r="EH10" i="5" s="1"/>
  <c r="DZ10" i="5"/>
  <c r="EA10" i="5" s="1"/>
  <c r="DV10" i="5"/>
  <c r="DY10" i="5" s="1"/>
  <c r="DQ10" i="5"/>
  <c r="DR10" i="5" s="1"/>
  <c r="DM10" i="5"/>
  <c r="DP10" i="5" s="1"/>
  <c r="DH10" i="5"/>
  <c r="DI10" i="5" s="1"/>
  <c r="DD10" i="5"/>
  <c r="DG10" i="5" s="1"/>
  <c r="CY10" i="5"/>
  <c r="CZ10" i="5" s="1"/>
  <c r="CU10" i="5"/>
  <c r="CX10" i="5" s="1"/>
  <c r="CP10" i="5"/>
  <c r="CQ10" i="5" s="1"/>
  <c r="CL10" i="5"/>
  <c r="CO10" i="5" s="1"/>
  <c r="CD10" i="5"/>
  <c r="CG10" i="5" s="1"/>
  <c r="BV10" i="5"/>
  <c r="BY10" i="5" s="1"/>
  <c r="BQ10" i="5"/>
  <c r="BR10" i="5" s="1"/>
  <c r="BM10" i="5"/>
  <c r="BP10" i="5" s="1"/>
  <c r="BH10" i="5"/>
  <c r="BI10" i="5" s="1"/>
  <c r="BD10" i="5"/>
  <c r="BG10" i="5" s="1"/>
  <c r="AY10" i="5"/>
  <c r="AZ10" i="5" s="1"/>
  <c r="AU10" i="5"/>
  <c r="AX10" i="5" s="1"/>
  <c r="AP10" i="5"/>
  <c r="AQ10" i="5" s="1"/>
  <c r="AL10" i="5"/>
  <c r="AO10" i="5" s="1"/>
  <c r="AG10" i="5"/>
  <c r="AH10" i="5" s="1"/>
  <c r="AD10" i="5"/>
  <c r="Y10" i="5"/>
  <c r="Z10" i="5" s="1"/>
  <c r="V10" i="5"/>
  <c r="Q10" i="5"/>
  <c r="R10" i="5" s="1"/>
  <c r="M10" i="5"/>
  <c r="P10" i="5" s="1"/>
  <c r="H10" i="5"/>
  <c r="I10" i="5" s="1"/>
  <c r="D10" i="5"/>
  <c r="G10" i="5" s="1"/>
  <c r="VU9" i="5"/>
  <c r="VV9" i="5" s="1"/>
  <c r="VQ9" i="5"/>
  <c r="VT9" i="5" s="1"/>
  <c r="VL9" i="5"/>
  <c r="VM9" i="5" s="1"/>
  <c r="VH9" i="5"/>
  <c r="VK9" i="5" s="1"/>
  <c r="VC9" i="5"/>
  <c r="VD9" i="5" s="1"/>
  <c r="UY9" i="5"/>
  <c r="VB9" i="5" s="1"/>
  <c r="UT9" i="5"/>
  <c r="UU9" i="5" s="1"/>
  <c r="UP9" i="5"/>
  <c r="US9" i="5" s="1"/>
  <c r="UI9" i="5"/>
  <c r="UL9" i="5" s="1"/>
  <c r="UD9" i="5"/>
  <c r="UE9" i="5" s="1"/>
  <c r="TZ9" i="5"/>
  <c r="UC9" i="5" s="1"/>
  <c r="TS9" i="5"/>
  <c r="TV9" i="5" s="1"/>
  <c r="TN9" i="5"/>
  <c r="TO9" i="5" s="1"/>
  <c r="TJ9" i="5"/>
  <c r="TM9" i="5" s="1"/>
  <c r="TE9" i="5"/>
  <c r="TF9" i="5" s="1"/>
  <c r="TA9" i="5"/>
  <c r="TD9" i="5" s="1"/>
  <c r="SV9" i="5"/>
  <c r="SW9" i="5" s="1"/>
  <c r="SR9" i="5"/>
  <c r="SU9" i="5" s="1"/>
  <c r="SM9" i="5"/>
  <c r="SN9" i="5" s="1"/>
  <c r="SI9" i="5"/>
  <c r="SL9" i="5" s="1"/>
  <c r="SD9" i="5"/>
  <c r="SE9" i="5" s="1"/>
  <c r="RZ9" i="5"/>
  <c r="SC9" i="5" s="1"/>
  <c r="RU9" i="5"/>
  <c r="RV9" i="5" s="1"/>
  <c r="RQ9" i="5"/>
  <c r="RT9" i="5" s="1"/>
  <c r="RL9" i="5"/>
  <c r="RM9" i="5" s="1"/>
  <c r="RH9" i="5"/>
  <c r="RK9" i="5" s="1"/>
  <c r="RC9" i="5"/>
  <c r="RD9" i="5" s="1"/>
  <c r="QY9" i="5"/>
  <c r="RB9" i="5" s="1"/>
  <c r="QT9" i="5"/>
  <c r="QU9" i="5" s="1"/>
  <c r="QP9" i="5"/>
  <c r="QS9" i="5" s="1"/>
  <c r="QK9" i="5"/>
  <c r="QL9" i="5" s="1"/>
  <c r="QG9" i="5"/>
  <c r="QJ9" i="5" s="1"/>
  <c r="QB9" i="5"/>
  <c r="QC9" i="5" s="1"/>
  <c r="PX9" i="5"/>
  <c r="QA9" i="5" s="1"/>
  <c r="PQ9" i="5"/>
  <c r="PT9" i="5" s="1"/>
  <c r="PL9" i="5"/>
  <c r="PM9" i="5" s="1"/>
  <c r="PH9" i="5"/>
  <c r="PK9" i="5" s="1"/>
  <c r="PC9" i="5"/>
  <c r="PD9" i="5" s="1"/>
  <c r="OY9" i="5"/>
  <c r="PB9" i="5" s="1"/>
  <c r="OT9" i="5"/>
  <c r="OU9" i="5" s="1"/>
  <c r="OP9" i="5"/>
  <c r="OS9" i="5" s="1"/>
  <c r="OK9" i="5"/>
  <c r="OL9" i="5" s="1"/>
  <c r="OG9" i="5"/>
  <c r="OJ9" i="5" s="1"/>
  <c r="OB9" i="5"/>
  <c r="OC9" i="5" s="1"/>
  <c r="NX9" i="5"/>
  <c r="OA9" i="5" s="1"/>
  <c r="NS9" i="5"/>
  <c r="NT9" i="5" s="1"/>
  <c r="NO9" i="5"/>
  <c r="NR9" i="5" s="1"/>
  <c r="NJ9" i="5"/>
  <c r="NK9" i="5" s="1"/>
  <c r="NF9" i="5"/>
  <c r="NI9" i="5" s="1"/>
  <c r="NA9" i="5"/>
  <c r="NB9" i="5" s="1"/>
  <c r="MW9" i="5"/>
  <c r="MZ9" i="5" s="1"/>
  <c r="MR9" i="5"/>
  <c r="MS9" i="5" s="1"/>
  <c r="MN9" i="5"/>
  <c r="MQ9" i="5" s="1"/>
  <c r="MI9" i="5"/>
  <c r="MJ9" i="5" s="1"/>
  <c r="ME9" i="5"/>
  <c r="MH9" i="5" s="1"/>
  <c r="LZ9" i="5"/>
  <c r="MA9" i="5" s="1"/>
  <c r="LV9" i="5"/>
  <c r="LY9" i="5" s="1"/>
  <c r="LQ9" i="5"/>
  <c r="LR9" i="5" s="1"/>
  <c r="LM9" i="5"/>
  <c r="LP9" i="5" s="1"/>
  <c r="LG9" i="5"/>
  <c r="LH9" i="5" s="1"/>
  <c r="LC9" i="5"/>
  <c r="LF9" i="5" s="1"/>
  <c r="KX9" i="5"/>
  <c r="KY9" i="5" s="1"/>
  <c r="KT9" i="5"/>
  <c r="KW9" i="5" s="1"/>
  <c r="KO9" i="5"/>
  <c r="KP9" i="5" s="1"/>
  <c r="KK9" i="5"/>
  <c r="KN9" i="5" s="1"/>
  <c r="KF9" i="5"/>
  <c r="KG9" i="5" s="1"/>
  <c r="KB9" i="5"/>
  <c r="KE9" i="5" s="1"/>
  <c r="JW9" i="5"/>
  <c r="JX9" i="5" s="1"/>
  <c r="JS9" i="5"/>
  <c r="JV9" i="5" s="1"/>
  <c r="JN9" i="5"/>
  <c r="JO9" i="5" s="1"/>
  <c r="JJ9" i="5"/>
  <c r="JM9" i="5" s="1"/>
  <c r="JE9" i="5"/>
  <c r="JF9" i="5" s="1"/>
  <c r="JA9" i="5"/>
  <c r="JD9" i="5" s="1"/>
  <c r="IV9" i="5"/>
  <c r="IW9" i="5" s="1"/>
  <c r="IR9" i="5"/>
  <c r="IU9" i="5" s="1"/>
  <c r="IM9" i="5"/>
  <c r="IN9" i="5" s="1"/>
  <c r="II9" i="5"/>
  <c r="IL9" i="5" s="1"/>
  <c r="ID9" i="5"/>
  <c r="IE9" i="5" s="1"/>
  <c r="HZ9" i="5"/>
  <c r="IC9" i="5" s="1"/>
  <c r="HU9" i="5"/>
  <c r="HV9" i="5" s="1"/>
  <c r="HQ9" i="5"/>
  <c r="HT9" i="5" s="1"/>
  <c r="HL9" i="5"/>
  <c r="HM9" i="5" s="1"/>
  <c r="HH9" i="5"/>
  <c r="HK9" i="5" s="1"/>
  <c r="HC9" i="5"/>
  <c r="HD9" i="5" s="1"/>
  <c r="GY9" i="5"/>
  <c r="HB9" i="5" s="1"/>
  <c r="GT9" i="5"/>
  <c r="GU9" i="5" s="1"/>
  <c r="GP9" i="5"/>
  <c r="GS9" i="5" s="1"/>
  <c r="GK9" i="5"/>
  <c r="GL9" i="5" s="1"/>
  <c r="GG9" i="5"/>
  <c r="GJ9" i="5" s="1"/>
  <c r="GB9" i="5"/>
  <c r="GC9" i="5" s="1"/>
  <c r="FX9" i="5"/>
  <c r="GA9" i="5" s="1"/>
  <c r="FS9" i="5"/>
  <c r="FT9" i="5" s="1"/>
  <c r="FO9" i="5"/>
  <c r="FR9" i="5" s="1"/>
  <c r="FJ9" i="5"/>
  <c r="FK9" i="5" s="1"/>
  <c r="FF9" i="5"/>
  <c r="FI9" i="5" s="1"/>
  <c r="FA9" i="5"/>
  <c r="FB9" i="5" s="1"/>
  <c r="EW9" i="5"/>
  <c r="EZ9" i="5" s="1"/>
  <c r="ER9" i="5"/>
  <c r="ES9" i="5" s="1"/>
  <c r="EN9" i="5"/>
  <c r="EQ9" i="5" s="1"/>
  <c r="EI9" i="5"/>
  <c r="EJ9" i="5" s="1"/>
  <c r="EE9" i="5"/>
  <c r="EH9" i="5" s="1"/>
  <c r="DZ9" i="5"/>
  <c r="EA9" i="5" s="1"/>
  <c r="DV9" i="5"/>
  <c r="DY9" i="5" s="1"/>
  <c r="DQ9" i="5"/>
  <c r="DR9" i="5" s="1"/>
  <c r="DM9" i="5"/>
  <c r="DP9" i="5" s="1"/>
  <c r="DH9" i="5"/>
  <c r="DI9" i="5" s="1"/>
  <c r="DD9" i="5"/>
  <c r="DG9" i="5" s="1"/>
  <c r="CY9" i="5"/>
  <c r="CZ9" i="5" s="1"/>
  <c r="CU9" i="5"/>
  <c r="CX9" i="5" s="1"/>
  <c r="CP9" i="5"/>
  <c r="CQ9" i="5" s="1"/>
  <c r="CL9" i="5"/>
  <c r="CO9" i="5" s="1"/>
  <c r="CD9" i="5"/>
  <c r="CG9" i="5" s="1"/>
  <c r="BV9" i="5"/>
  <c r="BY9" i="5" s="1"/>
  <c r="BQ9" i="5"/>
  <c r="BR9" i="5" s="1"/>
  <c r="BM9" i="5"/>
  <c r="BP9" i="5" s="1"/>
  <c r="BH9" i="5"/>
  <c r="BI9" i="5" s="1"/>
  <c r="BD9" i="5"/>
  <c r="BG9" i="5" s="1"/>
  <c r="AY9" i="5"/>
  <c r="AZ9" i="5" s="1"/>
  <c r="AU9" i="5"/>
  <c r="AX9" i="5" s="1"/>
  <c r="AP9" i="5"/>
  <c r="AQ9" i="5" s="1"/>
  <c r="AL9" i="5"/>
  <c r="AO9" i="5" s="1"/>
  <c r="AG9" i="5"/>
  <c r="AH9" i="5" s="1"/>
  <c r="AD9" i="5"/>
  <c r="Y9" i="5"/>
  <c r="Z9" i="5" s="1"/>
  <c r="V9" i="5"/>
  <c r="Q9" i="5"/>
  <c r="R9" i="5" s="1"/>
  <c r="M9" i="5"/>
  <c r="P9" i="5" s="1"/>
  <c r="H9" i="5"/>
  <c r="I9" i="5" s="1"/>
  <c r="D9" i="5"/>
  <c r="G9" i="5" s="1"/>
  <c r="VU8" i="5"/>
  <c r="VV8" i="5" s="1"/>
  <c r="VQ8" i="5"/>
  <c r="VT8" i="5" s="1"/>
  <c r="VL8" i="5"/>
  <c r="VM8" i="5" s="1"/>
  <c r="VH8" i="5"/>
  <c r="VK8" i="5" s="1"/>
  <c r="VC8" i="5"/>
  <c r="VD8" i="5" s="1"/>
  <c r="UY8" i="5"/>
  <c r="VB8" i="5" s="1"/>
  <c r="UT8" i="5"/>
  <c r="UU8" i="5" s="1"/>
  <c r="UP8" i="5"/>
  <c r="US8" i="5" s="1"/>
  <c r="UI8" i="5"/>
  <c r="UL8" i="5" s="1"/>
  <c r="UD8" i="5"/>
  <c r="UE8" i="5" s="1"/>
  <c r="TZ8" i="5"/>
  <c r="UC8" i="5" s="1"/>
  <c r="TS8" i="5"/>
  <c r="TV8" i="5" s="1"/>
  <c r="TN8" i="5"/>
  <c r="TO8" i="5" s="1"/>
  <c r="TJ8" i="5"/>
  <c r="TM8" i="5" s="1"/>
  <c r="TE8" i="5"/>
  <c r="TF8" i="5" s="1"/>
  <c r="TA8" i="5"/>
  <c r="TD8" i="5" s="1"/>
  <c r="SV8" i="5"/>
  <c r="SW8" i="5" s="1"/>
  <c r="SR8" i="5"/>
  <c r="SU8" i="5" s="1"/>
  <c r="SM8" i="5"/>
  <c r="SN8" i="5" s="1"/>
  <c r="SI8" i="5"/>
  <c r="SL8" i="5" s="1"/>
  <c r="SD8" i="5"/>
  <c r="SE8" i="5" s="1"/>
  <c r="RZ8" i="5"/>
  <c r="SC8" i="5" s="1"/>
  <c r="RU8" i="5"/>
  <c r="RV8" i="5" s="1"/>
  <c r="RQ8" i="5"/>
  <c r="RT8" i="5" s="1"/>
  <c r="RL8" i="5"/>
  <c r="RM8" i="5" s="1"/>
  <c r="RH8" i="5"/>
  <c r="RK8" i="5" s="1"/>
  <c r="RC8" i="5"/>
  <c r="RD8" i="5" s="1"/>
  <c r="QY8" i="5"/>
  <c r="RB8" i="5" s="1"/>
  <c r="QT8" i="5"/>
  <c r="QU8" i="5" s="1"/>
  <c r="QP8" i="5"/>
  <c r="QS8" i="5" s="1"/>
  <c r="QK8" i="5"/>
  <c r="QL8" i="5" s="1"/>
  <c r="QG8" i="5"/>
  <c r="QJ8" i="5" s="1"/>
  <c r="QB8" i="5"/>
  <c r="QC8" i="5" s="1"/>
  <c r="PX8" i="5"/>
  <c r="QA8" i="5" s="1"/>
  <c r="PQ8" i="5"/>
  <c r="PT8" i="5" s="1"/>
  <c r="PL8" i="5"/>
  <c r="PM8" i="5" s="1"/>
  <c r="PH8" i="5"/>
  <c r="PK8" i="5" s="1"/>
  <c r="PC8" i="5"/>
  <c r="PD8" i="5" s="1"/>
  <c r="OY8" i="5"/>
  <c r="PB8" i="5" s="1"/>
  <c r="OT8" i="5"/>
  <c r="OU8" i="5" s="1"/>
  <c r="OP8" i="5"/>
  <c r="OS8" i="5" s="1"/>
  <c r="OK8" i="5"/>
  <c r="OL8" i="5" s="1"/>
  <c r="OG8" i="5"/>
  <c r="OJ8" i="5" s="1"/>
  <c r="OB8" i="5"/>
  <c r="OC8" i="5" s="1"/>
  <c r="NX8" i="5"/>
  <c r="OA8" i="5" s="1"/>
  <c r="NS8" i="5"/>
  <c r="NT8" i="5" s="1"/>
  <c r="NO8" i="5"/>
  <c r="NR8" i="5" s="1"/>
  <c r="NJ8" i="5"/>
  <c r="NK8" i="5" s="1"/>
  <c r="NF8" i="5"/>
  <c r="NI8" i="5" s="1"/>
  <c r="NA8" i="5"/>
  <c r="NB8" i="5" s="1"/>
  <c r="MW8" i="5"/>
  <c r="MZ8" i="5" s="1"/>
  <c r="MR8" i="5"/>
  <c r="MS8" i="5" s="1"/>
  <c r="MN8" i="5"/>
  <c r="MQ8" i="5" s="1"/>
  <c r="MI8" i="5"/>
  <c r="MJ8" i="5" s="1"/>
  <c r="ME8" i="5"/>
  <c r="MH8" i="5" s="1"/>
  <c r="LZ8" i="5"/>
  <c r="MA8" i="5" s="1"/>
  <c r="LV8" i="5"/>
  <c r="LY8" i="5" s="1"/>
  <c r="LQ8" i="5"/>
  <c r="LR8" i="5" s="1"/>
  <c r="LM8" i="5"/>
  <c r="LP8" i="5" s="1"/>
  <c r="LG8" i="5"/>
  <c r="LH8" i="5" s="1"/>
  <c r="LC8" i="5"/>
  <c r="LF8" i="5" s="1"/>
  <c r="KX8" i="5"/>
  <c r="KY8" i="5" s="1"/>
  <c r="KZ8" i="5" s="1"/>
  <c r="KT8" i="5"/>
  <c r="KW8" i="5" s="1"/>
  <c r="KO8" i="5"/>
  <c r="KP8" i="5" s="1"/>
  <c r="KK8" i="5"/>
  <c r="KN8" i="5" s="1"/>
  <c r="KF8" i="5"/>
  <c r="KG8" i="5" s="1"/>
  <c r="KB8" i="5"/>
  <c r="KE8" i="5" s="1"/>
  <c r="JW8" i="5"/>
  <c r="JX8" i="5" s="1"/>
  <c r="JS8" i="5"/>
  <c r="JV8" i="5" s="1"/>
  <c r="JN8" i="5"/>
  <c r="JO8" i="5" s="1"/>
  <c r="JJ8" i="5"/>
  <c r="JM8" i="5" s="1"/>
  <c r="JE8" i="5"/>
  <c r="JF8" i="5" s="1"/>
  <c r="JA8" i="5"/>
  <c r="JD8" i="5" s="1"/>
  <c r="IV8" i="5"/>
  <c r="IW8" i="5" s="1"/>
  <c r="IR8" i="5"/>
  <c r="IU8" i="5" s="1"/>
  <c r="IM8" i="5"/>
  <c r="IN8" i="5" s="1"/>
  <c r="II8" i="5"/>
  <c r="IL8" i="5" s="1"/>
  <c r="ID8" i="5"/>
  <c r="IE8" i="5" s="1"/>
  <c r="HZ8" i="5"/>
  <c r="IC8" i="5" s="1"/>
  <c r="HU8" i="5"/>
  <c r="HV8" i="5" s="1"/>
  <c r="HQ8" i="5"/>
  <c r="HT8" i="5" s="1"/>
  <c r="HL8" i="5"/>
  <c r="HM8" i="5" s="1"/>
  <c r="HH8" i="5"/>
  <c r="HK8" i="5" s="1"/>
  <c r="HC8" i="5"/>
  <c r="HD8" i="5" s="1"/>
  <c r="GY8" i="5"/>
  <c r="HB8" i="5" s="1"/>
  <c r="GT8" i="5"/>
  <c r="GU8" i="5" s="1"/>
  <c r="GP8" i="5"/>
  <c r="GS8" i="5" s="1"/>
  <c r="GK8" i="5"/>
  <c r="GL8" i="5" s="1"/>
  <c r="GG8" i="5"/>
  <c r="GJ8" i="5" s="1"/>
  <c r="GB8" i="5"/>
  <c r="GC8" i="5" s="1"/>
  <c r="FX8" i="5"/>
  <c r="GA8" i="5" s="1"/>
  <c r="FS8" i="5"/>
  <c r="FT8" i="5" s="1"/>
  <c r="FO8" i="5"/>
  <c r="FR8" i="5" s="1"/>
  <c r="FJ8" i="5"/>
  <c r="FK8" i="5" s="1"/>
  <c r="FF8" i="5"/>
  <c r="FI8" i="5" s="1"/>
  <c r="FA8" i="5"/>
  <c r="FB8" i="5" s="1"/>
  <c r="EW8" i="5"/>
  <c r="EZ8" i="5" s="1"/>
  <c r="ER8" i="5"/>
  <c r="ES8" i="5" s="1"/>
  <c r="EN8" i="5"/>
  <c r="EQ8" i="5" s="1"/>
  <c r="EI8" i="5"/>
  <c r="EJ8" i="5" s="1"/>
  <c r="EE8" i="5"/>
  <c r="EH8" i="5" s="1"/>
  <c r="DZ8" i="5"/>
  <c r="EA8" i="5" s="1"/>
  <c r="DV8" i="5"/>
  <c r="DY8" i="5" s="1"/>
  <c r="DQ8" i="5"/>
  <c r="DR8" i="5" s="1"/>
  <c r="DM8" i="5"/>
  <c r="DP8" i="5" s="1"/>
  <c r="DH8" i="5"/>
  <c r="DI8" i="5" s="1"/>
  <c r="DD8" i="5"/>
  <c r="DG8" i="5" s="1"/>
  <c r="CY8" i="5"/>
  <c r="CZ8" i="5" s="1"/>
  <c r="CU8" i="5"/>
  <c r="CX8" i="5" s="1"/>
  <c r="CP8" i="5"/>
  <c r="CQ8" i="5" s="1"/>
  <c r="CL8" i="5"/>
  <c r="CO8" i="5" s="1"/>
  <c r="CD8" i="5"/>
  <c r="CG8" i="5" s="1"/>
  <c r="BV8" i="5"/>
  <c r="BY8" i="5" s="1"/>
  <c r="BQ8" i="5"/>
  <c r="BR8" i="5" s="1"/>
  <c r="BM8" i="5"/>
  <c r="BP8" i="5" s="1"/>
  <c r="BH8" i="5"/>
  <c r="BI8" i="5" s="1"/>
  <c r="BD8" i="5"/>
  <c r="BG8" i="5" s="1"/>
  <c r="AY8" i="5"/>
  <c r="AZ8" i="5" s="1"/>
  <c r="AU8" i="5"/>
  <c r="AX8" i="5" s="1"/>
  <c r="AP8" i="5"/>
  <c r="AQ8" i="5" s="1"/>
  <c r="AL8" i="5"/>
  <c r="AO8" i="5" s="1"/>
  <c r="AG8" i="5"/>
  <c r="AH8" i="5" s="1"/>
  <c r="AD8" i="5"/>
  <c r="Y8" i="5"/>
  <c r="Z8" i="5" s="1"/>
  <c r="V8" i="5"/>
  <c r="Q8" i="5"/>
  <c r="R8" i="5" s="1"/>
  <c r="M8" i="5"/>
  <c r="P8" i="5" s="1"/>
  <c r="H8" i="5"/>
  <c r="I8" i="5" s="1"/>
  <c r="D8" i="5"/>
  <c r="G8" i="5" s="1"/>
  <c r="VU7" i="5"/>
  <c r="VV7" i="5" s="1"/>
  <c r="VQ7" i="5"/>
  <c r="VT7" i="5" s="1"/>
  <c r="VL7" i="5"/>
  <c r="VM7" i="5" s="1"/>
  <c r="VH7" i="5"/>
  <c r="VK7" i="5" s="1"/>
  <c r="VC7" i="5"/>
  <c r="VD7" i="5" s="1"/>
  <c r="UY7" i="5"/>
  <c r="VB7" i="5" s="1"/>
  <c r="UT7" i="5"/>
  <c r="UU7" i="5" s="1"/>
  <c r="UP7" i="5"/>
  <c r="US7" i="5" s="1"/>
  <c r="UI7" i="5"/>
  <c r="UL7" i="5" s="1"/>
  <c r="UD7" i="5"/>
  <c r="UE7" i="5" s="1"/>
  <c r="TZ7" i="5"/>
  <c r="UC7" i="5" s="1"/>
  <c r="TS7" i="5"/>
  <c r="TV7" i="5" s="1"/>
  <c r="TN7" i="5"/>
  <c r="TO7" i="5" s="1"/>
  <c r="TJ7" i="5"/>
  <c r="TM7" i="5" s="1"/>
  <c r="TE7" i="5"/>
  <c r="TF7" i="5" s="1"/>
  <c r="TA7" i="5"/>
  <c r="TD7" i="5" s="1"/>
  <c r="SV7" i="5"/>
  <c r="SW7" i="5" s="1"/>
  <c r="SR7" i="5"/>
  <c r="SU7" i="5" s="1"/>
  <c r="SM7" i="5"/>
  <c r="SN7" i="5" s="1"/>
  <c r="SI7" i="5"/>
  <c r="SL7" i="5" s="1"/>
  <c r="SD7" i="5"/>
  <c r="SE7" i="5" s="1"/>
  <c r="RZ7" i="5"/>
  <c r="SC7" i="5" s="1"/>
  <c r="RU7" i="5"/>
  <c r="RV7" i="5" s="1"/>
  <c r="RQ7" i="5"/>
  <c r="RT7" i="5" s="1"/>
  <c r="RL7" i="5"/>
  <c r="RM7" i="5" s="1"/>
  <c r="RH7" i="5"/>
  <c r="RK7" i="5" s="1"/>
  <c r="RC7" i="5"/>
  <c r="RD7" i="5" s="1"/>
  <c r="QY7" i="5"/>
  <c r="RB7" i="5" s="1"/>
  <c r="QT7" i="5"/>
  <c r="QU7" i="5" s="1"/>
  <c r="QP7" i="5"/>
  <c r="QS7" i="5" s="1"/>
  <c r="QK7" i="5"/>
  <c r="QL7" i="5" s="1"/>
  <c r="QG7" i="5"/>
  <c r="QJ7" i="5" s="1"/>
  <c r="QB7" i="5"/>
  <c r="QC7" i="5" s="1"/>
  <c r="PX7" i="5"/>
  <c r="QA7" i="5" s="1"/>
  <c r="PQ7" i="5"/>
  <c r="PT7" i="5" s="1"/>
  <c r="PL7" i="5"/>
  <c r="PM7" i="5" s="1"/>
  <c r="PH7" i="5"/>
  <c r="PK7" i="5" s="1"/>
  <c r="PC7" i="5"/>
  <c r="PD7" i="5" s="1"/>
  <c r="OY7" i="5"/>
  <c r="PB7" i="5" s="1"/>
  <c r="OT7" i="5"/>
  <c r="OU7" i="5" s="1"/>
  <c r="OP7" i="5"/>
  <c r="OS7" i="5" s="1"/>
  <c r="OK7" i="5"/>
  <c r="OL7" i="5" s="1"/>
  <c r="OG7" i="5"/>
  <c r="OJ7" i="5" s="1"/>
  <c r="OB7" i="5"/>
  <c r="OC7" i="5" s="1"/>
  <c r="NX7" i="5"/>
  <c r="OA7" i="5" s="1"/>
  <c r="NS7" i="5"/>
  <c r="NT7" i="5" s="1"/>
  <c r="NO7" i="5"/>
  <c r="NR7" i="5" s="1"/>
  <c r="NJ7" i="5"/>
  <c r="NK7" i="5" s="1"/>
  <c r="NF7" i="5"/>
  <c r="NI7" i="5" s="1"/>
  <c r="NA7" i="5"/>
  <c r="NB7" i="5" s="1"/>
  <c r="MW7" i="5"/>
  <c r="MZ7" i="5" s="1"/>
  <c r="MR7" i="5"/>
  <c r="MS7" i="5" s="1"/>
  <c r="MN7" i="5"/>
  <c r="MQ7" i="5" s="1"/>
  <c r="MI7" i="5"/>
  <c r="MJ7" i="5" s="1"/>
  <c r="ME7" i="5"/>
  <c r="MH7" i="5" s="1"/>
  <c r="LZ7" i="5"/>
  <c r="MA7" i="5" s="1"/>
  <c r="LV7" i="5"/>
  <c r="LY7" i="5" s="1"/>
  <c r="LQ7" i="5"/>
  <c r="LR7" i="5" s="1"/>
  <c r="LM7" i="5"/>
  <c r="LP7" i="5" s="1"/>
  <c r="LG7" i="5"/>
  <c r="LH7" i="5" s="1"/>
  <c r="LC7" i="5"/>
  <c r="LF7" i="5" s="1"/>
  <c r="KX7" i="5"/>
  <c r="KY7" i="5" s="1"/>
  <c r="KT7" i="5"/>
  <c r="KW7" i="5" s="1"/>
  <c r="KO7" i="5"/>
  <c r="KP7" i="5" s="1"/>
  <c r="KK7" i="5"/>
  <c r="KN7" i="5" s="1"/>
  <c r="KF7" i="5"/>
  <c r="KG7" i="5" s="1"/>
  <c r="KB7" i="5"/>
  <c r="KE7" i="5" s="1"/>
  <c r="JW7" i="5"/>
  <c r="JX7" i="5" s="1"/>
  <c r="JS7" i="5"/>
  <c r="JV7" i="5" s="1"/>
  <c r="JN7" i="5"/>
  <c r="JO7" i="5" s="1"/>
  <c r="JJ7" i="5"/>
  <c r="JM7" i="5" s="1"/>
  <c r="JE7" i="5"/>
  <c r="JF7" i="5" s="1"/>
  <c r="JA7" i="5"/>
  <c r="JD7" i="5" s="1"/>
  <c r="IV7" i="5"/>
  <c r="IW7" i="5" s="1"/>
  <c r="IR7" i="5"/>
  <c r="IU7" i="5" s="1"/>
  <c r="IM7" i="5"/>
  <c r="IN7" i="5" s="1"/>
  <c r="II7" i="5"/>
  <c r="IL7" i="5" s="1"/>
  <c r="ID7" i="5"/>
  <c r="IE7" i="5" s="1"/>
  <c r="HZ7" i="5"/>
  <c r="IC7" i="5" s="1"/>
  <c r="HU7" i="5"/>
  <c r="HV7" i="5" s="1"/>
  <c r="HQ7" i="5"/>
  <c r="HT7" i="5" s="1"/>
  <c r="HL7" i="5"/>
  <c r="HM7" i="5" s="1"/>
  <c r="HH7" i="5"/>
  <c r="HK7" i="5" s="1"/>
  <c r="HC7" i="5"/>
  <c r="HD7" i="5" s="1"/>
  <c r="GY7" i="5"/>
  <c r="HB7" i="5" s="1"/>
  <c r="GT7" i="5"/>
  <c r="GU7" i="5" s="1"/>
  <c r="GP7" i="5"/>
  <c r="GS7" i="5" s="1"/>
  <c r="GK7" i="5"/>
  <c r="GL7" i="5" s="1"/>
  <c r="GG7" i="5"/>
  <c r="GJ7" i="5" s="1"/>
  <c r="GB7" i="5"/>
  <c r="GC7" i="5" s="1"/>
  <c r="FX7" i="5"/>
  <c r="GA7" i="5" s="1"/>
  <c r="FS7" i="5"/>
  <c r="FT7" i="5" s="1"/>
  <c r="FO7" i="5"/>
  <c r="FR7" i="5" s="1"/>
  <c r="FJ7" i="5"/>
  <c r="FK7" i="5" s="1"/>
  <c r="FF7" i="5"/>
  <c r="FI7" i="5" s="1"/>
  <c r="FA7" i="5"/>
  <c r="FB7" i="5" s="1"/>
  <c r="EW7" i="5"/>
  <c r="EZ7" i="5" s="1"/>
  <c r="ER7" i="5"/>
  <c r="ES7" i="5" s="1"/>
  <c r="EN7" i="5"/>
  <c r="EQ7" i="5" s="1"/>
  <c r="EI7" i="5"/>
  <c r="EJ7" i="5" s="1"/>
  <c r="EE7" i="5"/>
  <c r="EH7" i="5" s="1"/>
  <c r="DZ7" i="5"/>
  <c r="EA7" i="5" s="1"/>
  <c r="DV7" i="5"/>
  <c r="DY7" i="5" s="1"/>
  <c r="DQ7" i="5"/>
  <c r="DR7" i="5" s="1"/>
  <c r="DM7" i="5"/>
  <c r="DP7" i="5" s="1"/>
  <c r="DH7" i="5"/>
  <c r="DI7" i="5" s="1"/>
  <c r="DD7" i="5"/>
  <c r="DG7" i="5" s="1"/>
  <c r="CY7" i="5"/>
  <c r="CZ7" i="5" s="1"/>
  <c r="CU7" i="5"/>
  <c r="CX7" i="5" s="1"/>
  <c r="CP7" i="5"/>
  <c r="CQ7" i="5" s="1"/>
  <c r="CL7" i="5"/>
  <c r="CO7" i="5" s="1"/>
  <c r="CD7" i="5"/>
  <c r="CG7" i="5" s="1"/>
  <c r="BV7" i="5"/>
  <c r="BY7" i="5" s="1"/>
  <c r="BQ7" i="5"/>
  <c r="BR7" i="5" s="1"/>
  <c r="BM7" i="5"/>
  <c r="BP7" i="5" s="1"/>
  <c r="BH7" i="5"/>
  <c r="BI7" i="5" s="1"/>
  <c r="BD7" i="5"/>
  <c r="BG7" i="5" s="1"/>
  <c r="AY7" i="5"/>
  <c r="AZ7" i="5" s="1"/>
  <c r="AU7" i="5"/>
  <c r="AX7" i="5" s="1"/>
  <c r="AP7" i="5"/>
  <c r="AQ7" i="5" s="1"/>
  <c r="AL7" i="5"/>
  <c r="AO7" i="5" s="1"/>
  <c r="AG7" i="5"/>
  <c r="AH7" i="5" s="1"/>
  <c r="AD7" i="5"/>
  <c r="Y7" i="5"/>
  <c r="Z7" i="5" s="1"/>
  <c r="V7" i="5"/>
  <c r="Q7" i="5"/>
  <c r="R7" i="5" s="1"/>
  <c r="M7" i="5"/>
  <c r="P7" i="5" s="1"/>
  <c r="H7" i="5"/>
  <c r="I7" i="5" s="1"/>
  <c r="D7" i="5"/>
  <c r="G7" i="5" s="1"/>
  <c r="VU6" i="5"/>
  <c r="VV6" i="5" s="1"/>
  <c r="VQ6" i="5"/>
  <c r="VT6" i="5" s="1"/>
  <c r="VL6" i="5"/>
  <c r="VM6" i="5" s="1"/>
  <c r="VH6" i="5"/>
  <c r="VK6" i="5" s="1"/>
  <c r="VC6" i="5"/>
  <c r="VD6" i="5" s="1"/>
  <c r="UY6" i="5"/>
  <c r="VB6" i="5" s="1"/>
  <c r="UT6" i="5"/>
  <c r="UU6" i="5" s="1"/>
  <c r="UP6" i="5"/>
  <c r="US6" i="5" s="1"/>
  <c r="UI6" i="5"/>
  <c r="UL6" i="5" s="1"/>
  <c r="UD6" i="5"/>
  <c r="UE6" i="5" s="1"/>
  <c r="TZ6" i="5"/>
  <c r="UC6" i="5" s="1"/>
  <c r="TS6" i="5"/>
  <c r="TV6" i="5" s="1"/>
  <c r="TN6" i="5"/>
  <c r="TO6" i="5" s="1"/>
  <c r="TJ6" i="5"/>
  <c r="TM6" i="5" s="1"/>
  <c r="TE6" i="5"/>
  <c r="TF6" i="5" s="1"/>
  <c r="TA6" i="5"/>
  <c r="TD6" i="5" s="1"/>
  <c r="SV6" i="5"/>
  <c r="SW6" i="5" s="1"/>
  <c r="SR6" i="5"/>
  <c r="SU6" i="5" s="1"/>
  <c r="SM6" i="5"/>
  <c r="SN6" i="5" s="1"/>
  <c r="SI6" i="5"/>
  <c r="SL6" i="5" s="1"/>
  <c r="SD6" i="5"/>
  <c r="SE6" i="5" s="1"/>
  <c r="RZ6" i="5"/>
  <c r="SC6" i="5" s="1"/>
  <c r="RU6" i="5"/>
  <c r="RV6" i="5" s="1"/>
  <c r="RQ6" i="5"/>
  <c r="RT6" i="5" s="1"/>
  <c r="RL6" i="5"/>
  <c r="RM6" i="5" s="1"/>
  <c r="RH6" i="5"/>
  <c r="RK6" i="5" s="1"/>
  <c r="RC6" i="5"/>
  <c r="RD6" i="5" s="1"/>
  <c r="QY6" i="5"/>
  <c r="RB6" i="5" s="1"/>
  <c r="QT6" i="5"/>
  <c r="QU6" i="5" s="1"/>
  <c r="QP6" i="5"/>
  <c r="QS6" i="5" s="1"/>
  <c r="QK6" i="5"/>
  <c r="QL6" i="5" s="1"/>
  <c r="QG6" i="5"/>
  <c r="QJ6" i="5" s="1"/>
  <c r="QB6" i="5"/>
  <c r="QC6" i="5" s="1"/>
  <c r="PX6" i="5"/>
  <c r="QA6" i="5" s="1"/>
  <c r="PQ6" i="5"/>
  <c r="PT6" i="5" s="1"/>
  <c r="PL6" i="5"/>
  <c r="PM6" i="5" s="1"/>
  <c r="PH6" i="5"/>
  <c r="PK6" i="5" s="1"/>
  <c r="PC6" i="5"/>
  <c r="PD6" i="5" s="1"/>
  <c r="OY6" i="5"/>
  <c r="PB6" i="5" s="1"/>
  <c r="OT6" i="5"/>
  <c r="OU6" i="5" s="1"/>
  <c r="OP6" i="5"/>
  <c r="OS6" i="5" s="1"/>
  <c r="OK6" i="5"/>
  <c r="OL6" i="5" s="1"/>
  <c r="OG6" i="5"/>
  <c r="OJ6" i="5" s="1"/>
  <c r="OB6" i="5"/>
  <c r="OC6" i="5" s="1"/>
  <c r="NX6" i="5"/>
  <c r="OA6" i="5" s="1"/>
  <c r="NS6" i="5"/>
  <c r="NT6" i="5" s="1"/>
  <c r="NO6" i="5"/>
  <c r="NR6" i="5" s="1"/>
  <c r="NJ6" i="5"/>
  <c r="NK6" i="5" s="1"/>
  <c r="NF6" i="5"/>
  <c r="NI6" i="5" s="1"/>
  <c r="NA6" i="5"/>
  <c r="NB6" i="5" s="1"/>
  <c r="MW6" i="5"/>
  <c r="MZ6" i="5" s="1"/>
  <c r="MR6" i="5"/>
  <c r="MS6" i="5" s="1"/>
  <c r="MN6" i="5"/>
  <c r="MQ6" i="5" s="1"/>
  <c r="MI6" i="5"/>
  <c r="MJ6" i="5" s="1"/>
  <c r="ME6" i="5"/>
  <c r="MH6" i="5" s="1"/>
  <c r="LZ6" i="5"/>
  <c r="MA6" i="5" s="1"/>
  <c r="LV6" i="5"/>
  <c r="LY6" i="5" s="1"/>
  <c r="LQ6" i="5"/>
  <c r="LR6" i="5" s="1"/>
  <c r="LM6" i="5"/>
  <c r="LP6" i="5" s="1"/>
  <c r="LG6" i="5"/>
  <c r="LH6" i="5" s="1"/>
  <c r="LC6" i="5"/>
  <c r="LF6" i="5" s="1"/>
  <c r="KX6" i="5"/>
  <c r="KY6" i="5" s="1"/>
  <c r="KT6" i="5"/>
  <c r="KW6" i="5" s="1"/>
  <c r="KO6" i="5"/>
  <c r="KP6" i="5" s="1"/>
  <c r="KK6" i="5"/>
  <c r="KN6" i="5" s="1"/>
  <c r="KF6" i="5"/>
  <c r="KG6" i="5" s="1"/>
  <c r="KB6" i="5"/>
  <c r="KE6" i="5" s="1"/>
  <c r="JW6" i="5"/>
  <c r="JX6" i="5" s="1"/>
  <c r="JS6" i="5"/>
  <c r="JV6" i="5" s="1"/>
  <c r="JN6" i="5"/>
  <c r="JO6" i="5" s="1"/>
  <c r="JJ6" i="5"/>
  <c r="JM6" i="5" s="1"/>
  <c r="JE6" i="5"/>
  <c r="JF6" i="5" s="1"/>
  <c r="JA6" i="5"/>
  <c r="JD6" i="5" s="1"/>
  <c r="IV6" i="5"/>
  <c r="IW6" i="5" s="1"/>
  <c r="IR6" i="5"/>
  <c r="IU6" i="5" s="1"/>
  <c r="IM6" i="5"/>
  <c r="IN6" i="5" s="1"/>
  <c r="II6" i="5"/>
  <c r="IL6" i="5" s="1"/>
  <c r="ID6" i="5"/>
  <c r="IE6" i="5" s="1"/>
  <c r="HZ6" i="5"/>
  <c r="IC6" i="5" s="1"/>
  <c r="HU6" i="5"/>
  <c r="HV6" i="5" s="1"/>
  <c r="HQ6" i="5"/>
  <c r="HT6" i="5" s="1"/>
  <c r="HL6" i="5"/>
  <c r="HM6" i="5" s="1"/>
  <c r="HH6" i="5"/>
  <c r="HK6" i="5" s="1"/>
  <c r="HC6" i="5"/>
  <c r="HD6" i="5" s="1"/>
  <c r="GY6" i="5"/>
  <c r="HB6" i="5" s="1"/>
  <c r="GT6" i="5"/>
  <c r="GU6" i="5" s="1"/>
  <c r="GP6" i="5"/>
  <c r="GS6" i="5" s="1"/>
  <c r="GK6" i="5"/>
  <c r="GL6" i="5" s="1"/>
  <c r="GG6" i="5"/>
  <c r="GJ6" i="5" s="1"/>
  <c r="GB6" i="5"/>
  <c r="GC6" i="5" s="1"/>
  <c r="FX6" i="5"/>
  <c r="GA6" i="5" s="1"/>
  <c r="FS6" i="5"/>
  <c r="FT6" i="5" s="1"/>
  <c r="FO6" i="5"/>
  <c r="FR6" i="5" s="1"/>
  <c r="FJ6" i="5"/>
  <c r="FK6" i="5" s="1"/>
  <c r="FF6" i="5"/>
  <c r="FI6" i="5" s="1"/>
  <c r="FA6" i="5"/>
  <c r="FB6" i="5" s="1"/>
  <c r="EW6" i="5"/>
  <c r="EZ6" i="5" s="1"/>
  <c r="ER6" i="5"/>
  <c r="ES6" i="5" s="1"/>
  <c r="EN6" i="5"/>
  <c r="EQ6" i="5" s="1"/>
  <c r="EI6" i="5"/>
  <c r="EJ6" i="5" s="1"/>
  <c r="EE6" i="5"/>
  <c r="EH6" i="5" s="1"/>
  <c r="DZ6" i="5"/>
  <c r="EA6" i="5" s="1"/>
  <c r="DV6" i="5"/>
  <c r="DY6" i="5" s="1"/>
  <c r="DQ6" i="5"/>
  <c r="DR6" i="5" s="1"/>
  <c r="DM6" i="5"/>
  <c r="DP6" i="5" s="1"/>
  <c r="DH6" i="5"/>
  <c r="DI6" i="5" s="1"/>
  <c r="DD6" i="5"/>
  <c r="DG6" i="5" s="1"/>
  <c r="CY6" i="5"/>
  <c r="CZ6" i="5" s="1"/>
  <c r="CU6" i="5"/>
  <c r="CX6" i="5" s="1"/>
  <c r="CP6" i="5"/>
  <c r="CQ6" i="5" s="1"/>
  <c r="CL6" i="5"/>
  <c r="CO6" i="5" s="1"/>
  <c r="CD6" i="5"/>
  <c r="CG6" i="5" s="1"/>
  <c r="BV6" i="5"/>
  <c r="BY6" i="5" s="1"/>
  <c r="BQ6" i="5"/>
  <c r="BR6" i="5" s="1"/>
  <c r="BM6" i="5"/>
  <c r="BP6" i="5" s="1"/>
  <c r="BH6" i="5"/>
  <c r="BI6" i="5" s="1"/>
  <c r="BD6" i="5"/>
  <c r="BG6" i="5" s="1"/>
  <c r="AY6" i="5"/>
  <c r="AZ6" i="5" s="1"/>
  <c r="AU6" i="5"/>
  <c r="AX6" i="5" s="1"/>
  <c r="AP6" i="5"/>
  <c r="AQ6" i="5" s="1"/>
  <c r="AL6" i="5"/>
  <c r="AO6" i="5" s="1"/>
  <c r="AG6" i="5"/>
  <c r="AH6" i="5" s="1"/>
  <c r="AD6" i="5"/>
  <c r="Y6" i="5"/>
  <c r="Z6" i="5" s="1"/>
  <c r="V6" i="5"/>
  <c r="Q6" i="5"/>
  <c r="R6" i="5" s="1"/>
  <c r="M6" i="5"/>
  <c r="P6" i="5" s="1"/>
  <c r="H6" i="5"/>
  <c r="I6" i="5" s="1"/>
  <c r="D6" i="5"/>
  <c r="G6" i="5" s="1"/>
  <c r="VU5" i="5"/>
  <c r="VV5" i="5" s="1"/>
  <c r="VQ5" i="5"/>
  <c r="VT5" i="5" s="1"/>
  <c r="VL5" i="5"/>
  <c r="VM5" i="5" s="1"/>
  <c r="VH5" i="5"/>
  <c r="VK5" i="5" s="1"/>
  <c r="VC5" i="5"/>
  <c r="VD5" i="5" s="1"/>
  <c r="UY5" i="5"/>
  <c r="VB5" i="5" s="1"/>
  <c r="UT5" i="5"/>
  <c r="UU5" i="5" s="1"/>
  <c r="UP5" i="5"/>
  <c r="US5" i="5" s="1"/>
  <c r="UI5" i="5"/>
  <c r="UL5" i="5" s="1"/>
  <c r="UD5" i="5"/>
  <c r="UE5" i="5" s="1"/>
  <c r="TZ5" i="5"/>
  <c r="UC5" i="5" s="1"/>
  <c r="TS5" i="5"/>
  <c r="TV5" i="5" s="1"/>
  <c r="TN5" i="5"/>
  <c r="TO5" i="5" s="1"/>
  <c r="TJ5" i="5"/>
  <c r="TM5" i="5" s="1"/>
  <c r="TE5" i="5"/>
  <c r="TF5" i="5" s="1"/>
  <c r="TA5" i="5"/>
  <c r="TD5" i="5" s="1"/>
  <c r="SV5" i="5"/>
  <c r="SW5" i="5" s="1"/>
  <c r="SR5" i="5"/>
  <c r="SU5" i="5" s="1"/>
  <c r="SM5" i="5"/>
  <c r="SN5" i="5" s="1"/>
  <c r="SI5" i="5"/>
  <c r="SL5" i="5" s="1"/>
  <c r="SD5" i="5"/>
  <c r="SE5" i="5" s="1"/>
  <c r="RZ5" i="5"/>
  <c r="SC5" i="5" s="1"/>
  <c r="RU5" i="5"/>
  <c r="RV5" i="5" s="1"/>
  <c r="RQ5" i="5"/>
  <c r="RT5" i="5" s="1"/>
  <c r="RL5" i="5"/>
  <c r="RM5" i="5" s="1"/>
  <c r="RH5" i="5"/>
  <c r="RK5" i="5" s="1"/>
  <c r="RC5" i="5"/>
  <c r="RD5" i="5" s="1"/>
  <c r="QY5" i="5"/>
  <c r="RB5" i="5" s="1"/>
  <c r="QT5" i="5"/>
  <c r="QU5" i="5" s="1"/>
  <c r="QP5" i="5"/>
  <c r="QS5" i="5" s="1"/>
  <c r="QK5" i="5"/>
  <c r="QL5" i="5" s="1"/>
  <c r="QG5" i="5"/>
  <c r="QJ5" i="5" s="1"/>
  <c r="QB5" i="5"/>
  <c r="QC5" i="5" s="1"/>
  <c r="PX5" i="5"/>
  <c r="QA5" i="5" s="1"/>
  <c r="PQ5" i="5"/>
  <c r="PT5" i="5" s="1"/>
  <c r="PL5" i="5"/>
  <c r="PM5" i="5" s="1"/>
  <c r="PH5" i="5"/>
  <c r="PK5" i="5" s="1"/>
  <c r="PC5" i="5"/>
  <c r="PD5" i="5" s="1"/>
  <c r="OY5" i="5"/>
  <c r="PB5" i="5" s="1"/>
  <c r="OT5" i="5"/>
  <c r="OU5" i="5" s="1"/>
  <c r="OP5" i="5"/>
  <c r="OS5" i="5" s="1"/>
  <c r="OK5" i="5"/>
  <c r="OL5" i="5" s="1"/>
  <c r="OG5" i="5"/>
  <c r="OJ5" i="5" s="1"/>
  <c r="OB5" i="5"/>
  <c r="OC5" i="5" s="1"/>
  <c r="NX5" i="5"/>
  <c r="OA5" i="5" s="1"/>
  <c r="NS5" i="5"/>
  <c r="NT5" i="5" s="1"/>
  <c r="NO5" i="5"/>
  <c r="NR5" i="5" s="1"/>
  <c r="NJ5" i="5"/>
  <c r="NK5" i="5" s="1"/>
  <c r="NF5" i="5"/>
  <c r="NI5" i="5" s="1"/>
  <c r="NA5" i="5"/>
  <c r="NB5" i="5" s="1"/>
  <c r="MW5" i="5"/>
  <c r="MZ5" i="5" s="1"/>
  <c r="MR5" i="5"/>
  <c r="MS5" i="5" s="1"/>
  <c r="MN5" i="5"/>
  <c r="MQ5" i="5" s="1"/>
  <c r="MI5" i="5"/>
  <c r="MJ5" i="5" s="1"/>
  <c r="ME5" i="5"/>
  <c r="MH5" i="5" s="1"/>
  <c r="LZ5" i="5"/>
  <c r="MA5" i="5" s="1"/>
  <c r="LV5" i="5"/>
  <c r="LY5" i="5" s="1"/>
  <c r="LQ5" i="5"/>
  <c r="LR5" i="5" s="1"/>
  <c r="LM5" i="5"/>
  <c r="LP5" i="5" s="1"/>
  <c r="LG5" i="5"/>
  <c r="LH5" i="5" s="1"/>
  <c r="LC5" i="5"/>
  <c r="LF5" i="5" s="1"/>
  <c r="KX5" i="5"/>
  <c r="KY5" i="5" s="1"/>
  <c r="KT5" i="5"/>
  <c r="KW5" i="5" s="1"/>
  <c r="KO5" i="5"/>
  <c r="KP5" i="5" s="1"/>
  <c r="KK5" i="5"/>
  <c r="KN5" i="5" s="1"/>
  <c r="KF5" i="5"/>
  <c r="KG5" i="5" s="1"/>
  <c r="KB5" i="5"/>
  <c r="KE5" i="5" s="1"/>
  <c r="JW5" i="5"/>
  <c r="JX5" i="5" s="1"/>
  <c r="JS5" i="5"/>
  <c r="JV5" i="5" s="1"/>
  <c r="JN5" i="5"/>
  <c r="JO5" i="5" s="1"/>
  <c r="JJ5" i="5"/>
  <c r="JM5" i="5" s="1"/>
  <c r="JE5" i="5"/>
  <c r="JF5" i="5" s="1"/>
  <c r="JA5" i="5"/>
  <c r="JD5" i="5" s="1"/>
  <c r="IV5" i="5"/>
  <c r="IW5" i="5" s="1"/>
  <c r="IR5" i="5"/>
  <c r="IU5" i="5" s="1"/>
  <c r="IM5" i="5"/>
  <c r="IN5" i="5" s="1"/>
  <c r="II5" i="5"/>
  <c r="IL5" i="5" s="1"/>
  <c r="ID5" i="5"/>
  <c r="IE5" i="5" s="1"/>
  <c r="HZ5" i="5"/>
  <c r="IC5" i="5" s="1"/>
  <c r="HU5" i="5"/>
  <c r="HV5" i="5" s="1"/>
  <c r="HQ5" i="5"/>
  <c r="HT5" i="5" s="1"/>
  <c r="HL5" i="5"/>
  <c r="HM5" i="5" s="1"/>
  <c r="HH5" i="5"/>
  <c r="HK5" i="5" s="1"/>
  <c r="HC5" i="5"/>
  <c r="HD5" i="5" s="1"/>
  <c r="GY5" i="5"/>
  <c r="HB5" i="5" s="1"/>
  <c r="GT5" i="5"/>
  <c r="GU5" i="5" s="1"/>
  <c r="GP5" i="5"/>
  <c r="GS5" i="5" s="1"/>
  <c r="GK5" i="5"/>
  <c r="GL5" i="5" s="1"/>
  <c r="GG5" i="5"/>
  <c r="GJ5" i="5" s="1"/>
  <c r="GB5" i="5"/>
  <c r="GC5" i="5" s="1"/>
  <c r="FX5" i="5"/>
  <c r="GA5" i="5" s="1"/>
  <c r="FS5" i="5"/>
  <c r="FT5" i="5" s="1"/>
  <c r="FO5" i="5"/>
  <c r="FR5" i="5" s="1"/>
  <c r="FJ5" i="5"/>
  <c r="FK5" i="5" s="1"/>
  <c r="FF5" i="5"/>
  <c r="FI5" i="5" s="1"/>
  <c r="FA5" i="5"/>
  <c r="FB5" i="5" s="1"/>
  <c r="EW5" i="5"/>
  <c r="EZ5" i="5" s="1"/>
  <c r="ER5" i="5"/>
  <c r="ES5" i="5" s="1"/>
  <c r="EN5" i="5"/>
  <c r="EQ5" i="5" s="1"/>
  <c r="EI5" i="5"/>
  <c r="EJ5" i="5" s="1"/>
  <c r="EE5" i="5"/>
  <c r="EH5" i="5" s="1"/>
  <c r="DZ5" i="5"/>
  <c r="EA5" i="5" s="1"/>
  <c r="DV5" i="5"/>
  <c r="DY5" i="5" s="1"/>
  <c r="DQ5" i="5"/>
  <c r="DR5" i="5" s="1"/>
  <c r="DM5" i="5"/>
  <c r="DP5" i="5" s="1"/>
  <c r="DH5" i="5"/>
  <c r="DI5" i="5" s="1"/>
  <c r="DD5" i="5"/>
  <c r="DG5" i="5" s="1"/>
  <c r="CY5" i="5"/>
  <c r="CZ5" i="5" s="1"/>
  <c r="CU5" i="5"/>
  <c r="CX5" i="5" s="1"/>
  <c r="CP5" i="5"/>
  <c r="CQ5" i="5" s="1"/>
  <c r="CL5" i="5"/>
  <c r="CO5" i="5" s="1"/>
  <c r="CD5" i="5"/>
  <c r="CG5" i="5" s="1"/>
  <c r="BV5" i="5"/>
  <c r="BY5" i="5" s="1"/>
  <c r="BQ5" i="5"/>
  <c r="BR5" i="5" s="1"/>
  <c r="BM5" i="5"/>
  <c r="BP5" i="5" s="1"/>
  <c r="BH5" i="5"/>
  <c r="BI5" i="5" s="1"/>
  <c r="BD5" i="5"/>
  <c r="BG5" i="5" s="1"/>
  <c r="AY5" i="5"/>
  <c r="AZ5" i="5" s="1"/>
  <c r="AU5" i="5"/>
  <c r="AX5" i="5" s="1"/>
  <c r="AP5" i="5"/>
  <c r="AQ5" i="5" s="1"/>
  <c r="AL5" i="5"/>
  <c r="AO5" i="5" s="1"/>
  <c r="AG5" i="5"/>
  <c r="AH5" i="5" s="1"/>
  <c r="AD5" i="5"/>
  <c r="Y5" i="5"/>
  <c r="Z5" i="5" s="1"/>
  <c r="V5" i="5"/>
  <c r="Q5" i="5"/>
  <c r="R5" i="5" s="1"/>
  <c r="M5" i="5"/>
  <c r="P5" i="5" s="1"/>
  <c r="H5" i="5"/>
  <c r="I5" i="5" s="1"/>
  <c r="D5" i="5"/>
  <c r="G5" i="5" s="1"/>
  <c r="VU4" i="5"/>
  <c r="VQ4" i="5"/>
  <c r="VT4" i="5" s="1"/>
  <c r="VL4" i="5"/>
  <c r="VH4" i="5"/>
  <c r="VC4" i="5"/>
  <c r="UY4" i="5"/>
  <c r="VB4" i="5" s="1"/>
  <c r="UT4" i="5"/>
  <c r="UP4" i="5"/>
  <c r="UI4" i="5"/>
  <c r="UD4" i="5"/>
  <c r="UE4" i="5" s="1"/>
  <c r="TZ4" i="5"/>
  <c r="TS4" i="5"/>
  <c r="TN4" i="5"/>
  <c r="TJ4" i="5"/>
  <c r="TM4" i="5" s="1"/>
  <c r="TE4" i="5"/>
  <c r="TA4" i="5"/>
  <c r="SV4" i="5"/>
  <c r="SR4" i="5"/>
  <c r="SU4" i="5" s="1"/>
  <c r="SM4" i="5"/>
  <c r="SI4" i="5"/>
  <c r="SD4" i="5"/>
  <c r="RZ4" i="5"/>
  <c r="SC4" i="5" s="1"/>
  <c r="RU4" i="5"/>
  <c r="RQ4" i="5"/>
  <c r="RL4" i="5"/>
  <c r="RH4" i="5"/>
  <c r="RK4" i="5" s="1"/>
  <c r="RC4" i="5"/>
  <c r="QY4" i="5"/>
  <c r="QT4" i="5"/>
  <c r="QP4" i="5"/>
  <c r="QS4" i="5" s="1"/>
  <c r="QK4" i="5"/>
  <c r="QG4" i="5"/>
  <c r="QB4" i="5"/>
  <c r="PX4" i="5"/>
  <c r="QA4" i="5" s="1"/>
  <c r="PQ4" i="5"/>
  <c r="PL4" i="5"/>
  <c r="PH4" i="5"/>
  <c r="PC4" i="5"/>
  <c r="PD4" i="5" s="1"/>
  <c r="OY4" i="5"/>
  <c r="OT4" i="5"/>
  <c r="OU4" i="5" s="1"/>
  <c r="OP4" i="5"/>
  <c r="OS4" i="5" s="1"/>
  <c r="OK4" i="5"/>
  <c r="OL4" i="5" s="1"/>
  <c r="OG4" i="5"/>
  <c r="OJ4" i="5" s="1"/>
  <c r="OB4" i="5"/>
  <c r="OC4" i="5" s="1"/>
  <c r="NX4" i="5"/>
  <c r="OA4" i="5" s="1"/>
  <c r="NS4" i="5"/>
  <c r="NT4" i="5" s="1"/>
  <c r="NO4" i="5"/>
  <c r="NR4" i="5" s="1"/>
  <c r="NJ4" i="5"/>
  <c r="NK4" i="5" s="1"/>
  <c r="NF4" i="5"/>
  <c r="NI4" i="5" s="1"/>
  <c r="NA4" i="5"/>
  <c r="MW4" i="5"/>
  <c r="MZ4" i="5" s="1"/>
  <c r="MR4" i="5"/>
  <c r="MS4" i="5" s="1"/>
  <c r="MN4" i="5"/>
  <c r="MQ4" i="5" s="1"/>
  <c r="MI4" i="5"/>
  <c r="MJ4" i="5" s="1"/>
  <c r="ME4" i="5"/>
  <c r="MH4" i="5" s="1"/>
  <c r="LZ4" i="5"/>
  <c r="MA4" i="5" s="1"/>
  <c r="LV4" i="5"/>
  <c r="LY4" i="5" s="1"/>
  <c r="LQ4" i="5"/>
  <c r="LM4" i="5"/>
  <c r="LP4" i="5" s="1"/>
  <c r="LG4" i="5"/>
  <c r="LC4" i="5"/>
  <c r="KX4" i="5"/>
  <c r="KY4" i="5" s="1"/>
  <c r="KT4" i="5"/>
  <c r="KO4" i="5"/>
  <c r="KK4" i="5"/>
  <c r="KF4" i="5"/>
  <c r="KG4" i="5" s="1"/>
  <c r="KB4" i="5"/>
  <c r="JW4" i="5"/>
  <c r="JS4" i="5"/>
  <c r="JN4" i="5"/>
  <c r="JO4" i="5" s="1"/>
  <c r="JJ4" i="5"/>
  <c r="JE4" i="5"/>
  <c r="JA4" i="5"/>
  <c r="IV4" i="5"/>
  <c r="IW4" i="5" s="1"/>
  <c r="IR4" i="5"/>
  <c r="IM4" i="5"/>
  <c r="IN4" i="5" s="1"/>
  <c r="II4" i="5"/>
  <c r="ID4" i="5"/>
  <c r="HZ4" i="5"/>
  <c r="HU4" i="5"/>
  <c r="HV4" i="5" s="1"/>
  <c r="HQ4" i="5"/>
  <c r="HL4" i="5"/>
  <c r="HH4" i="5"/>
  <c r="HC4" i="5"/>
  <c r="GY4" i="5"/>
  <c r="GT4" i="5"/>
  <c r="GP4" i="5"/>
  <c r="GS4" i="5" s="1"/>
  <c r="GK4" i="5"/>
  <c r="GG4" i="5"/>
  <c r="GB4" i="5"/>
  <c r="FX4" i="5"/>
  <c r="GA4" i="5" s="1"/>
  <c r="FS4" i="5"/>
  <c r="FO4" i="5"/>
  <c r="FJ4" i="5"/>
  <c r="FF4" i="5"/>
  <c r="FI4" i="5" s="1"/>
  <c r="FA4" i="5"/>
  <c r="EW4" i="5"/>
  <c r="ER4" i="5"/>
  <c r="EN4" i="5"/>
  <c r="EQ4" i="5" s="1"/>
  <c r="EI4" i="5"/>
  <c r="EJ4" i="5" s="1"/>
  <c r="EE4" i="5"/>
  <c r="DZ4" i="5"/>
  <c r="EA4" i="5" s="1"/>
  <c r="DV4" i="5"/>
  <c r="DY4" i="5" s="1"/>
  <c r="DQ4" i="5"/>
  <c r="DR4" i="5" s="1"/>
  <c r="DM4" i="5"/>
  <c r="DH4" i="5"/>
  <c r="DI4" i="5" s="1"/>
  <c r="DD4" i="5"/>
  <c r="DG4" i="5" s="1"/>
  <c r="CY4" i="5"/>
  <c r="CU4" i="5"/>
  <c r="CP4" i="5"/>
  <c r="CL4" i="5"/>
  <c r="CO4" i="5" s="1"/>
  <c r="CD4" i="5"/>
  <c r="BV4" i="5"/>
  <c r="BQ4" i="5"/>
  <c r="BR4" i="5" s="1"/>
  <c r="BM4" i="5"/>
  <c r="BP4" i="5" s="1"/>
  <c r="BH4" i="5"/>
  <c r="BI4" i="5" s="1"/>
  <c r="BD4" i="5"/>
  <c r="AY4" i="5"/>
  <c r="AZ4" i="5" s="1"/>
  <c r="AU4" i="5"/>
  <c r="AP4" i="5"/>
  <c r="AQ4" i="5" s="1"/>
  <c r="AL4" i="5"/>
  <c r="AO4" i="5" s="1"/>
  <c r="AG4" i="5"/>
  <c r="AH4" i="5" s="1"/>
  <c r="AD4" i="5"/>
  <c r="Y4" i="5"/>
  <c r="Z4" i="5" s="1"/>
  <c r="V4" i="5"/>
  <c r="Q4" i="5"/>
  <c r="R4" i="5" s="1"/>
  <c r="M4" i="5"/>
  <c r="P4" i="5" s="1"/>
  <c r="H4" i="5"/>
  <c r="I4" i="5" s="1"/>
  <c r="D4" i="5"/>
  <c r="CY30" i="5" l="1"/>
  <c r="CP30" i="5"/>
  <c r="EA33" i="5"/>
  <c r="EA32" i="5"/>
  <c r="R33" i="5"/>
  <c r="R32" i="5"/>
  <c r="BR33" i="5"/>
  <c r="BR32" i="5"/>
  <c r="EJ33" i="5"/>
  <c r="EJ32" i="5"/>
  <c r="OL33" i="5"/>
  <c r="OL32" i="5"/>
  <c r="OL29" i="5"/>
  <c r="OL30" i="5"/>
  <c r="DI32" i="5"/>
  <c r="DI33" i="5"/>
  <c r="NT32" i="5"/>
  <c r="NT33" i="5"/>
  <c r="NT30" i="5"/>
  <c r="NT29" i="5"/>
  <c r="AH32" i="5"/>
  <c r="AH33" i="5"/>
  <c r="AH30" i="5"/>
  <c r="AH29" i="5"/>
  <c r="AQ32" i="5"/>
  <c r="AQ33" i="5"/>
  <c r="DR32" i="5"/>
  <c r="DR33" i="5"/>
  <c r="MJ30" i="5"/>
  <c r="MJ32" i="5"/>
  <c r="MJ33" i="5"/>
  <c r="MJ29" i="5"/>
  <c r="I33" i="5"/>
  <c r="I32" i="5"/>
  <c r="BI33" i="5"/>
  <c r="BI32" i="5"/>
  <c r="AZ32" i="5"/>
  <c r="AZ33" i="5"/>
  <c r="P30" i="5"/>
  <c r="P29" i="5"/>
  <c r="FI30" i="5"/>
  <c r="FI29" i="5"/>
  <c r="IN30" i="5"/>
  <c r="IN32" i="5"/>
  <c r="IN33" i="5"/>
  <c r="IN29" i="5"/>
  <c r="NA30" i="5"/>
  <c r="NA29" i="5"/>
  <c r="RK30" i="5"/>
  <c r="RK29" i="5"/>
  <c r="BP30" i="5"/>
  <c r="BP29" i="5"/>
  <c r="GS30" i="5"/>
  <c r="GS29" i="5"/>
  <c r="IW32" i="5"/>
  <c r="IW30" i="5"/>
  <c r="IW33" i="5"/>
  <c r="IW29" i="5"/>
  <c r="LQ30" i="5"/>
  <c r="LQ29" i="5"/>
  <c r="QS30" i="5"/>
  <c r="QS29" i="5"/>
  <c r="VT30" i="5"/>
  <c r="VT29" i="5"/>
  <c r="V30" i="5"/>
  <c r="V29" i="5"/>
  <c r="FJ30" i="5"/>
  <c r="FJ29" i="5"/>
  <c r="GT30" i="5"/>
  <c r="GT29" i="5"/>
  <c r="HH30" i="5"/>
  <c r="HH29" i="5"/>
  <c r="JS30" i="5"/>
  <c r="JS29" i="5"/>
  <c r="LC29" i="5"/>
  <c r="LC30" i="5"/>
  <c r="PH30" i="5"/>
  <c r="PH29" i="5"/>
  <c r="QB30" i="5"/>
  <c r="QB29" i="5"/>
  <c r="RL30" i="5"/>
  <c r="RL29" i="5"/>
  <c r="SV30" i="5"/>
  <c r="SV29" i="5"/>
  <c r="VC30" i="5"/>
  <c r="VC29" i="5"/>
  <c r="VU30" i="5"/>
  <c r="VU29" i="5"/>
  <c r="DG30" i="5"/>
  <c r="DG29" i="5"/>
  <c r="NS30" i="5"/>
  <c r="NS29" i="5"/>
  <c r="UE32" i="5"/>
  <c r="UE33" i="5"/>
  <c r="UE30" i="5"/>
  <c r="UE29" i="5"/>
  <c r="ER30" i="5"/>
  <c r="ER29" i="5"/>
  <c r="GB30" i="5"/>
  <c r="GB29" i="5"/>
  <c r="HZ30" i="5"/>
  <c r="HZ29" i="5"/>
  <c r="JA30" i="5"/>
  <c r="JA29" i="5"/>
  <c r="KK30" i="5"/>
  <c r="KK29" i="5"/>
  <c r="LR4" i="5"/>
  <c r="NB4" i="5"/>
  <c r="QT30" i="5"/>
  <c r="QT29" i="5"/>
  <c r="SD29" i="5"/>
  <c r="SD30" i="5"/>
  <c r="TN30" i="5"/>
  <c r="TN29" i="5"/>
  <c r="UI30" i="5"/>
  <c r="UI29" i="5"/>
  <c r="CQ4" i="5"/>
  <c r="ES4" i="5"/>
  <c r="FK4" i="5"/>
  <c r="GC4" i="5"/>
  <c r="GU4" i="5"/>
  <c r="HK4" i="5"/>
  <c r="IC4" i="5"/>
  <c r="JD4" i="5"/>
  <c r="JV4" i="5"/>
  <c r="KN4" i="5"/>
  <c r="LF4" i="5"/>
  <c r="LV30" i="5"/>
  <c r="LV29" i="5"/>
  <c r="MN29" i="5"/>
  <c r="MN30" i="5"/>
  <c r="NF30" i="5"/>
  <c r="NF29" i="5"/>
  <c r="NX30" i="5"/>
  <c r="NX29" i="5"/>
  <c r="OP30" i="5"/>
  <c r="OP29" i="5"/>
  <c r="PK4" i="5"/>
  <c r="QC4" i="5"/>
  <c r="QU4" i="5"/>
  <c r="RM4" i="5"/>
  <c r="SE4" i="5"/>
  <c r="SW4" i="5"/>
  <c r="TO4" i="5"/>
  <c r="UL4" i="5"/>
  <c r="VD4" i="5"/>
  <c r="VV4" i="5"/>
  <c r="AO30" i="5"/>
  <c r="AO29" i="5"/>
  <c r="D29" i="5"/>
  <c r="D30" i="5"/>
  <c r="Z32" i="5"/>
  <c r="Z33" i="5"/>
  <c r="Z30" i="5"/>
  <c r="Z29" i="5"/>
  <c r="AU30" i="5"/>
  <c r="AU29" i="5"/>
  <c r="BV29" i="5"/>
  <c r="BV30" i="5"/>
  <c r="DM30" i="5"/>
  <c r="DM29" i="5"/>
  <c r="EW30" i="5"/>
  <c r="EW29" i="5"/>
  <c r="FO30" i="5"/>
  <c r="FO29" i="5"/>
  <c r="GY29" i="5"/>
  <c r="GY30" i="5"/>
  <c r="HL30" i="5"/>
  <c r="HL29" i="5"/>
  <c r="ID30" i="5"/>
  <c r="ID29" i="5"/>
  <c r="JE30" i="5"/>
  <c r="JE29" i="5"/>
  <c r="KO30" i="5"/>
  <c r="KO29" i="5"/>
  <c r="MQ30" i="5"/>
  <c r="MQ29" i="5"/>
  <c r="OA30" i="5"/>
  <c r="OA29" i="5"/>
  <c r="OS30" i="5"/>
  <c r="OS29" i="5"/>
  <c r="QG30" i="5"/>
  <c r="QG29" i="5"/>
  <c r="SI30" i="5"/>
  <c r="SI29" i="5"/>
  <c r="TA30" i="5"/>
  <c r="TA29" i="5"/>
  <c r="UP30" i="5"/>
  <c r="UP29" i="5"/>
  <c r="DY30" i="5"/>
  <c r="DY29" i="5"/>
  <c r="MI30" i="5"/>
  <c r="MI29" i="5"/>
  <c r="QA30" i="5"/>
  <c r="QA29" i="5"/>
  <c r="VB30" i="5"/>
  <c r="VB29" i="5"/>
  <c r="BD29" i="5"/>
  <c r="BD30" i="5"/>
  <c r="CU30" i="5"/>
  <c r="CU29" i="5"/>
  <c r="EE30" i="5"/>
  <c r="EE29" i="5"/>
  <c r="GG30" i="5"/>
  <c r="GG29" i="5"/>
  <c r="JW29" i="5"/>
  <c r="JW30" i="5"/>
  <c r="LG30" i="5"/>
  <c r="LG29" i="5"/>
  <c r="LY30" i="5"/>
  <c r="LY29" i="5"/>
  <c r="NI30" i="5"/>
  <c r="NI29" i="5"/>
  <c r="PL30" i="5"/>
  <c r="PL29" i="5"/>
  <c r="QY30" i="5"/>
  <c r="QY29" i="5"/>
  <c r="RQ30" i="5"/>
  <c r="RQ29" i="5"/>
  <c r="TS30" i="5"/>
  <c r="TS29" i="5"/>
  <c r="VH30" i="5"/>
  <c r="VH29" i="5"/>
  <c r="G4" i="5"/>
  <c r="AD30" i="5"/>
  <c r="AD29" i="5"/>
  <c r="AX4" i="5"/>
  <c r="BG4" i="5"/>
  <c r="BY4" i="5"/>
  <c r="CX4" i="5"/>
  <c r="DP4" i="5"/>
  <c r="EH4" i="5"/>
  <c r="EZ4" i="5"/>
  <c r="FR4" i="5"/>
  <c r="GJ4" i="5"/>
  <c r="HB4" i="5"/>
  <c r="HM4" i="5"/>
  <c r="IE4" i="5"/>
  <c r="JF4" i="5"/>
  <c r="JX4" i="5"/>
  <c r="KP4" i="5"/>
  <c r="LH4" i="5"/>
  <c r="LZ30" i="5"/>
  <c r="LZ29" i="5"/>
  <c r="MR30" i="5"/>
  <c r="MR29" i="5"/>
  <c r="NJ30" i="5"/>
  <c r="NJ29" i="5"/>
  <c r="OB29" i="5"/>
  <c r="OB30" i="5"/>
  <c r="OT30" i="5"/>
  <c r="OT29" i="5"/>
  <c r="PM4" i="5"/>
  <c r="QJ4" i="5"/>
  <c r="RB4" i="5"/>
  <c r="RT4" i="5"/>
  <c r="SL4" i="5"/>
  <c r="TD4" i="5"/>
  <c r="TV4" i="5"/>
  <c r="US4" i="5"/>
  <c r="VK4" i="5"/>
  <c r="OK30" i="5"/>
  <c r="OK29" i="5"/>
  <c r="TM30" i="5"/>
  <c r="TM29" i="5"/>
  <c r="CD30" i="5"/>
  <c r="CD29" i="5"/>
  <c r="FS30" i="5"/>
  <c r="FS29" i="5"/>
  <c r="GK30" i="5"/>
  <c r="GK29" i="5"/>
  <c r="HC30" i="5"/>
  <c r="HC29" i="5"/>
  <c r="II30" i="5"/>
  <c r="II29" i="5"/>
  <c r="JJ30" i="5"/>
  <c r="JJ29" i="5"/>
  <c r="KT30" i="5"/>
  <c r="KT29" i="5"/>
  <c r="MA33" i="5"/>
  <c r="MA30" i="5"/>
  <c r="MA29" i="5"/>
  <c r="MA32" i="5"/>
  <c r="NK32" i="5"/>
  <c r="NK30" i="5"/>
  <c r="NK33" i="5"/>
  <c r="NK29" i="5"/>
  <c r="OU33" i="5"/>
  <c r="OU30" i="5"/>
  <c r="OU29" i="5"/>
  <c r="OU32" i="5"/>
  <c r="OY30" i="5"/>
  <c r="OY29" i="5"/>
  <c r="PQ30" i="5"/>
  <c r="PQ29" i="5"/>
  <c r="RC30" i="5"/>
  <c r="RC29" i="5"/>
  <c r="SM30" i="5"/>
  <c r="SM29" i="5"/>
  <c r="TZ30" i="5"/>
  <c r="TZ29" i="5"/>
  <c r="VL30" i="5"/>
  <c r="VL29" i="5"/>
  <c r="CO30" i="5"/>
  <c r="CO29" i="5"/>
  <c r="GA30" i="5"/>
  <c r="GA29" i="5"/>
  <c r="HV33" i="5"/>
  <c r="HV30" i="5"/>
  <c r="HV32" i="5"/>
  <c r="HV29" i="5"/>
  <c r="JO33" i="5"/>
  <c r="JO30" i="5"/>
  <c r="JO32" i="5"/>
  <c r="JO29" i="5"/>
  <c r="KY30" i="5"/>
  <c r="KY32" i="5"/>
  <c r="KY33" i="5"/>
  <c r="KY29" i="5"/>
  <c r="PD30" i="5"/>
  <c r="PD32" i="5"/>
  <c r="PD33" i="5"/>
  <c r="PD29" i="5"/>
  <c r="SU30" i="5"/>
  <c r="SU29" i="5"/>
  <c r="FA30" i="5"/>
  <c r="FA29" i="5"/>
  <c r="HQ29" i="5"/>
  <c r="HQ30" i="5"/>
  <c r="IR30" i="5"/>
  <c r="IR29" i="5"/>
  <c r="KB30" i="5"/>
  <c r="KB29" i="5"/>
  <c r="MS30" i="5"/>
  <c r="MS32" i="5"/>
  <c r="MS33" i="5"/>
  <c r="MS29" i="5"/>
  <c r="OC32" i="5"/>
  <c r="OC33" i="5"/>
  <c r="OC30" i="5"/>
  <c r="OC29" i="5"/>
  <c r="QK30" i="5"/>
  <c r="QK29" i="5"/>
  <c r="RU30" i="5"/>
  <c r="RU29" i="5"/>
  <c r="TE30" i="5"/>
  <c r="TE29" i="5"/>
  <c r="UT30" i="5"/>
  <c r="UT29" i="5"/>
  <c r="CG4" i="5"/>
  <c r="CZ4" i="5"/>
  <c r="FB4" i="5"/>
  <c r="FT4" i="5"/>
  <c r="GL4" i="5"/>
  <c r="HD4" i="5"/>
  <c r="HT4" i="5"/>
  <c r="IL4" i="5"/>
  <c r="IU4" i="5"/>
  <c r="JM4" i="5"/>
  <c r="KE4" i="5"/>
  <c r="KW4" i="5"/>
  <c r="LM30" i="5"/>
  <c r="LM29" i="5"/>
  <c r="ME30" i="5"/>
  <c r="ME29" i="5"/>
  <c r="MW30" i="5"/>
  <c r="MW29" i="5"/>
  <c r="NO30" i="5"/>
  <c r="NO29" i="5"/>
  <c r="OG30" i="5"/>
  <c r="OG29" i="5"/>
  <c r="PB4" i="5"/>
  <c r="PT4" i="5"/>
  <c r="QL4" i="5"/>
  <c r="RD4" i="5"/>
  <c r="RV4" i="5"/>
  <c r="SN4" i="5"/>
  <c r="TF4" i="5"/>
  <c r="UC4" i="5"/>
  <c r="UU4" i="5"/>
  <c r="VM4" i="5"/>
  <c r="EQ30" i="5"/>
  <c r="EQ29" i="5"/>
  <c r="KG32" i="5"/>
  <c r="KG33" i="5"/>
  <c r="KG29" i="5"/>
  <c r="KG30" i="5"/>
  <c r="SC30" i="5"/>
  <c r="SC29" i="5"/>
  <c r="M29" i="5"/>
  <c r="M30" i="5"/>
  <c r="AL30" i="5"/>
  <c r="AL29" i="5"/>
  <c r="BM30" i="5"/>
  <c r="BM29" i="5"/>
  <c r="CL30" i="5"/>
  <c r="CL29" i="5"/>
  <c r="DD30" i="5"/>
  <c r="DD29" i="5"/>
  <c r="DV30" i="5"/>
  <c r="DV29" i="5"/>
  <c r="EN30" i="5"/>
  <c r="EN29" i="5"/>
  <c r="FF30" i="5"/>
  <c r="FF29" i="5"/>
  <c r="FX30" i="5"/>
  <c r="FX29" i="5"/>
  <c r="GP30" i="5"/>
  <c r="GP29" i="5"/>
  <c r="HU30" i="5"/>
  <c r="HU29" i="5"/>
  <c r="IM30" i="5"/>
  <c r="IM29" i="5"/>
  <c r="IV30" i="5"/>
  <c r="IV29" i="5"/>
  <c r="JN30" i="5"/>
  <c r="JN29" i="5"/>
  <c r="KF30" i="5"/>
  <c r="KF29" i="5"/>
  <c r="KX30" i="5"/>
  <c r="KX29" i="5"/>
  <c r="LP30" i="5"/>
  <c r="LP29" i="5"/>
  <c r="MH30" i="5"/>
  <c r="MH29" i="5"/>
  <c r="MZ30" i="5"/>
  <c r="MZ29" i="5"/>
  <c r="NR29" i="5"/>
  <c r="NR30" i="5"/>
  <c r="OJ30" i="5"/>
  <c r="OJ29" i="5"/>
  <c r="PC30" i="5"/>
  <c r="PC29" i="5"/>
  <c r="PX30" i="5"/>
  <c r="PX29" i="5"/>
  <c r="QP29" i="5"/>
  <c r="QP30" i="5"/>
  <c r="RH30" i="5"/>
  <c r="RH29" i="5"/>
  <c r="RZ30" i="5"/>
  <c r="RZ29" i="5"/>
  <c r="SR30" i="5"/>
  <c r="SR29" i="5"/>
  <c r="TJ29" i="5"/>
  <c r="TJ30" i="5"/>
  <c r="UD30" i="5"/>
  <c r="UD29" i="5"/>
  <c r="UY30" i="5"/>
  <c r="UY29" i="5"/>
  <c r="VQ30" i="5"/>
  <c r="VQ29" i="5"/>
  <c r="VM16" i="5"/>
  <c r="VK15" i="5"/>
  <c r="AH34" i="5" l="1"/>
  <c r="IW34" i="5"/>
  <c r="NK34" i="5"/>
  <c r="KG34" i="5"/>
  <c r="AZ34" i="5"/>
  <c r="DI34" i="5"/>
  <c r="DR34" i="5"/>
  <c r="BR34" i="5"/>
  <c r="OC34" i="5"/>
  <c r="Z34" i="5"/>
  <c r="I34" i="5"/>
  <c r="R34" i="5"/>
  <c r="OL34" i="5"/>
  <c r="MS34" i="5"/>
  <c r="KY34" i="5"/>
  <c r="RD32" i="5"/>
  <c r="RD33" i="5"/>
  <c r="RD30" i="5"/>
  <c r="RD29" i="5"/>
  <c r="TV30" i="5"/>
  <c r="TV29" i="5"/>
  <c r="JX33" i="5"/>
  <c r="JX30" i="5"/>
  <c r="JX29" i="5"/>
  <c r="JX32" i="5"/>
  <c r="FR30" i="5"/>
  <c r="FR29" i="5"/>
  <c r="VD33" i="5"/>
  <c r="VD30" i="5"/>
  <c r="VD29" i="5"/>
  <c r="VD32" i="5"/>
  <c r="PK30" i="5"/>
  <c r="PK29" i="5"/>
  <c r="UE34" i="5"/>
  <c r="AQ34" i="5"/>
  <c r="NT34" i="5"/>
  <c r="QL30" i="5"/>
  <c r="QL32" i="5"/>
  <c r="QL33" i="5"/>
  <c r="QL29" i="5"/>
  <c r="FT32" i="5"/>
  <c r="FT33" i="5"/>
  <c r="FT30" i="5"/>
  <c r="FT29" i="5"/>
  <c r="TD30" i="5"/>
  <c r="TD29" i="5"/>
  <c r="JF32" i="5"/>
  <c r="JF33" i="5"/>
  <c r="JF30" i="5"/>
  <c r="JF29" i="5"/>
  <c r="EZ29" i="5"/>
  <c r="EZ30" i="5"/>
  <c r="UL30" i="5"/>
  <c r="UL29" i="5"/>
  <c r="LF30" i="5"/>
  <c r="LF29" i="5"/>
  <c r="IC30" i="5"/>
  <c r="IC29" i="5"/>
  <c r="FK30" i="5"/>
  <c r="FK32" i="5"/>
  <c r="FK33" i="5"/>
  <c r="FK29" i="5"/>
  <c r="VM30" i="5"/>
  <c r="VM32" i="5"/>
  <c r="VM33" i="5"/>
  <c r="VM29" i="5"/>
  <c r="PT29" i="5"/>
  <c r="PT30" i="5"/>
  <c r="IL30" i="5"/>
  <c r="IL29" i="5"/>
  <c r="FB32" i="5"/>
  <c r="FB33" i="5"/>
  <c r="FB29" i="5"/>
  <c r="FB30" i="5"/>
  <c r="SL30" i="5"/>
  <c r="SL29" i="5"/>
  <c r="EH30" i="5"/>
  <c r="EH29" i="5"/>
  <c r="G30" i="5"/>
  <c r="G29" i="5"/>
  <c r="TO32" i="5"/>
  <c r="TO30" i="5"/>
  <c r="TO33" i="5"/>
  <c r="TO29" i="5"/>
  <c r="KN30" i="5"/>
  <c r="KN29" i="5"/>
  <c r="HK30" i="5"/>
  <c r="HK29" i="5"/>
  <c r="ES30" i="5"/>
  <c r="ES32" i="5"/>
  <c r="ES33" i="5"/>
  <c r="ES29" i="5"/>
  <c r="UU33" i="5"/>
  <c r="UU30" i="5"/>
  <c r="UU32" i="5"/>
  <c r="UU29" i="5"/>
  <c r="PB30" i="5"/>
  <c r="PB29" i="5"/>
  <c r="HT30" i="5"/>
  <c r="HT29" i="5"/>
  <c r="CZ32" i="5"/>
  <c r="CZ33" i="5"/>
  <c r="CZ30" i="5"/>
  <c r="PD34" i="5"/>
  <c r="HV34" i="5"/>
  <c r="RT29" i="5"/>
  <c r="RT30" i="5"/>
  <c r="DP29" i="5"/>
  <c r="DP30" i="5"/>
  <c r="SW32" i="5"/>
  <c r="SW33" i="5"/>
  <c r="SW30" i="5"/>
  <c r="SW29" i="5"/>
  <c r="JV30" i="5"/>
  <c r="JV29" i="5"/>
  <c r="CQ30" i="5"/>
  <c r="CQ32" i="5"/>
  <c r="CQ33" i="5"/>
  <c r="IN34" i="5"/>
  <c r="MJ34" i="5"/>
  <c r="UC30" i="5"/>
  <c r="UC29" i="5"/>
  <c r="KW30" i="5"/>
  <c r="KW29" i="5"/>
  <c r="CH32" i="5"/>
  <c r="CH33" i="5"/>
  <c r="CG29" i="5"/>
  <c r="CG30" i="5"/>
  <c r="RB30" i="5"/>
  <c r="RB29" i="5"/>
  <c r="CX30" i="5"/>
  <c r="CX29" i="5"/>
  <c r="SE32" i="5"/>
  <c r="SE30" i="5"/>
  <c r="SE33" i="5"/>
  <c r="SE29" i="5"/>
  <c r="JD30" i="5"/>
  <c r="JD29" i="5"/>
  <c r="NB30" i="5"/>
  <c r="NB32" i="5"/>
  <c r="NB33" i="5"/>
  <c r="NB29" i="5"/>
  <c r="TF30" i="5"/>
  <c r="TF32" i="5"/>
  <c r="TF33" i="5"/>
  <c r="TF29" i="5"/>
  <c r="KE30" i="5"/>
  <c r="KE29" i="5"/>
  <c r="QJ30" i="5"/>
  <c r="QJ29" i="5"/>
  <c r="HB30" i="5"/>
  <c r="HB29" i="5"/>
  <c r="BZ32" i="5"/>
  <c r="BZ33" i="5"/>
  <c r="BY30" i="5"/>
  <c r="BY29" i="5"/>
  <c r="RM33" i="5"/>
  <c r="RM30" i="5"/>
  <c r="RM32" i="5"/>
  <c r="RM29" i="5"/>
  <c r="LR33" i="5"/>
  <c r="LR32" i="5"/>
  <c r="LR29" i="5"/>
  <c r="LR30" i="5"/>
  <c r="SN32" i="5"/>
  <c r="SN33" i="5"/>
  <c r="SN30" i="5"/>
  <c r="SN29" i="5"/>
  <c r="JM29" i="5"/>
  <c r="JM30" i="5"/>
  <c r="HD32" i="5"/>
  <c r="HD30" i="5"/>
  <c r="HD29" i="5"/>
  <c r="HD33" i="5"/>
  <c r="VK30" i="5"/>
  <c r="VK29" i="5"/>
  <c r="PM30" i="5"/>
  <c r="PM32" i="5"/>
  <c r="PM29" i="5"/>
  <c r="PM33" i="5"/>
  <c r="LH30" i="5"/>
  <c r="LH29" i="5"/>
  <c r="LI4" i="5"/>
  <c r="IE30" i="5"/>
  <c r="IE32" i="5"/>
  <c r="IE33" i="5"/>
  <c r="IE29" i="5"/>
  <c r="GJ30" i="5"/>
  <c r="GJ29" i="5"/>
  <c r="BG30" i="5"/>
  <c r="BG29" i="5"/>
  <c r="QU32" i="5"/>
  <c r="QU30" i="5"/>
  <c r="QU33" i="5"/>
  <c r="QU29" i="5"/>
  <c r="GU30" i="5"/>
  <c r="GU32" i="5"/>
  <c r="GU33" i="5"/>
  <c r="GU29" i="5"/>
  <c r="RV33" i="5"/>
  <c r="RV30" i="5"/>
  <c r="RV29" i="5"/>
  <c r="RV32" i="5"/>
  <c r="IU30" i="5"/>
  <c r="IU29" i="5"/>
  <c r="GL33" i="5"/>
  <c r="GL30" i="5"/>
  <c r="GL32" i="5"/>
  <c r="GL29" i="5"/>
  <c r="JO34" i="5"/>
  <c r="OU34" i="5"/>
  <c r="MA34" i="5"/>
  <c r="US30" i="5"/>
  <c r="US29" i="5"/>
  <c r="KP32" i="5"/>
  <c r="KP30" i="5"/>
  <c r="KP29" i="5"/>
  <c r="KP33" i="5"/>
  <c r="HM30" i="5"/>
  <c r="HM33" i="5"/>
  <c r="HM32" i="5"/>
  <c r="HM29" i="5"/>
  <c r="AX30" i="5"/>
  <c r="AX29" i="5"/>
  <c r="VV32" i="5"/>
  <c r="VV30" i="5"/>
  <c r="VV29" i="5"/>
  <c r="VV33" i="5"/>
  <c r="QC32" i="5"/>
  <c r="QC33" i="5"/>
  <c r="QC30" i="5"/>
  <c r="QC29" i="5"/>
  <c r="GC33" i="5"/>
  <c r="GC32" i="5"/>
  <c r="GC30" i="5"/>
  <c r="GC29" i="5"/>
  <c r="BI34" i="5"/>
  <c r="EJ34" i="5"/>
  <c r="EA34" i="5"/>
  <c r="QU34" i="5" l="1"/>
  <c r="SN34" i="5"/>
  <c r="FB34" i="5"/>
  <c r="FT34" i="5"/>
  <c r="RD34" i="5"/>
  <c r="VM34" i="5"/>
  <c r="HM34" i="5"/>
  <c r="UU34" i="5"/>
  <c r="KP34" i="5"/>
  <c r="SE34" i="5"/>
  <c r="JX34" i="5"/>
  <c r="QC34" i="5"/>
  <c r="LR34" i="5"/>
  <c r="VD34" i="5"/>
  <c r="RV34" i="5"/>
  <c r="VV34" i="5"/>
  <c r="CH34" i="5"/>
  <c r="TF34" i="5"/>
  <c r="SW34" i="5"/>
  <c r="PM34" i="5"/>
  <c r="CQ34" i="5"/>
  <c r="CZ34" i="5"/>
  <c r="JF34" i="5"/>
  <c r="BZ34" i="5"/>
  <c r="IE34" i="5"/>
  <c r="GL34" i="5"/>
  <c r="GU34" i="5"/>
  <c r="LH32" i="5"/>
  <c r="LH33" i="5"/>
  <c r="RM34" i="5"/>
  <c r="HD34" i="5"/>
  <c r="GC34" i="5"/>
  <c r="NB34" i="5"/>
  <c r="ES34" i="5"/>
  <c r="TO34" i="5"/>
  <c r="FK34" i="5"/>
  <c r="QL34" i="5"/>
  <c r="LH34" i="5" l="1"/>
  <c r="BR29" i="4"/>
  <c r="BQ29" i="4"/>
  <c r="BP29" i="4"/>
  <c r="BN29" i="4"/>
  <c r="BJ29" i="4"/>
  <c r="BI29" i="4"/>
  <c r="BH29" i="4"/>
  <c r="BF29" i="4"/>
  <c r="BB29" i="4"/>
  <c r="BA29" i="4"/>
  <c r="AZ29" i="4"/>
  <c r="AX29" i="4"/>
  <c r="AT29" i="4"/>
  <c r="AS29" i="4"/>
  <c r="AR29" i="4"/>
  <c r="AP29" i="4"/>
  <c r="AL29" i="4"/>
  <c r="AK29" i="4"/>
  <c r="AJ29" i="4"/>
  <c r="AH29" i="4"/>
  <c r="AD29" i="4"/>
  <c r="AC29" i="4"/>
  <c r="AB29" i="4"/>
  <c r="Z29" i="4"/>
  <c r="V29" i="4"/>
  <c r="U29" i="4"/>
  <c r="T29" i="4"/>
  <c r="R29" i="4"/>
  <c r="N29" i="4"/>
  <c r="M29" i="4"/>
  <c r="L29" i="4"/>
  <c r="J29" i="4"/>
  <c r="F29" i="4"/>
  <c r="E29" i="4"/>
  <c r="D29" i="4"/>
  <c r="B29" i="4"/>
  <c r="BO28" i="4"/>
  <c r="BS28" i="4" s="1"/>
  <c r="BG28" i="4"/>
  <c r="BK28" i="4" s="1"/>
  <c r="AQ28" i="4"/>
  <c r="AU28" i="4" s="1"/>
  <c r="AI28" i="4"/>
  <c r="AM28" i="4" s="1"/>
  <c r="S28" i="4"/>
  <c r="W28" i="4" s="1"/>
  <c r="K28" i="4"/>
  <c r="O28" i="4" s="1"/>
  <c r="BO27" i="4"/>
  <c r="BS27" i="4" s="1"/>
  <c r="BG27" i="4"/>
  <c r="BK27" i="4" s="1"/>
  <c r="AQ27" i="4"/>
  <c r="AU27" i="4" s="1"/>
  <c r="AI27" i="4"/>
  <c r="AM27" i="4" s="1"/>
  <c r="S27" i="4"/>
  <c r="W27" i="4" s="1"/>
  <c r="K27" i="4"/>
  <c r="O27" i="4" s="1"/>
  <c r="BO26" i="4"/>
  <c r="BS26" i="4" s="1"/>
  <c r="BG26" i="4"/>
  <c r="BK26" i="4" s="1"/>
  <c r="AQ26" i="4"/>
  <c r="AU26" i="4" s="1"/>
  <c r="AI26" i="4"/>
  <c r="AM26" i="4" s="1"/>
  <c r="S26" i="4"/>
  <c r="W26" i="4" s="1"/>
  <c r="K26" i="4"/>
  <c r="O26" i="4" s="1"/>
  <c r="BO25" i="4"/>
  <c r="BS25" i="4" s="1"/>
  <c r="BG25" i="4"/>
  <c r="BK25" i="4" s="1"/>
  <c r="AQ25" i="4"/>
  <c r="AU25" i="4" s="1"/>
  <c r="AI25" i="4"/>
  <c r="AM25" i="4" s="1"/>
  <c r="S25" i="4"/>
  <c r="W25" i="4" s="1"/>
  <c r="O25" i="4"/>
  <c r="K25" i="4"/>
  <c r="BO24" i="4"/>
  <c r="BS24" i="4" s="1"/>
  <c r="BG24" i="4"/>
  <c r="BK24" i="4" s="1"/>
  <c r="AQ24" i="4"/>
  <c r="AU24" i="4" s="1"/>
  <c r="AI24" i="4"/>
  <c r="AM24" i="4" s="1"/>
  <c r="S24" i="4"/>
  <c r="W24" i="4" s="1"/>
  <c r="K24" i="4"/>
  <c r="O24" i="4" s="1"/>
  <c r="BO23" i="4"/>
  <c r="BS23" i="4" s="1"/>
  <c r="BG23" i="4"/>
  <c r="BK23" i="4" s="1"/>
  <c r="AQ23" i="4"/>
  <c r="AU23" i="4" s="1"/>
  <c r="AI23" i="4"/>
  <c r="AM23" i="4" s="1"/>
  <c r="S23" i="4"/>
  <c r="W23" i="4" s="1"/>
  <c r="K23" i="4"/>
  <c r="O23" i="4" s="1"/>
  <c r="BO22" i="4"/>
  <c r="BS22" i="4" s="1"/>
  <c r="BG22" i="4"/>
  <c r="BK22" i="4" s="1"/>
  <c r="AQ22" i="4"/>
  <c r="AU22" i="4" s="1"/>
  <c r="AI22" i="4"/>
  <c r="AM22" i="4" s="1"/>
  <c r="S22" i="4"/>
  <c r="W22" i="4" s="1"/>
  <c r="K22" i="4"/>
  <c r="O22" i="4" s="1"/>
  <c r="BO21" i="4"/>
  <c r="BS21" i="4" s="1"/>
  <c r="BG21" i="4"/>
  <c r="BK21" i="4" s="1"/>
  <c r="AU21" i="4"/>
  <c r="AQ21" i="4"/>
  <c r="AI21" i="4"/>
  <c r="AM21" i="4" s="1"/>
  <c r="S21" i="4"/>
  <c r="W21" i="4" s="1"/>
  <c r="K21" i="4"/>
  <c r="O21" i="4" s="1"/>
  <c r="C21" i="4"/>
  <c r="G21" i="4" s="1"/>
  <c r="BO20" i="4"/>
  <c r="BS20" i="4" s="1"/>
  <c r="BG20" i="4"/>
  <c r="BK20" i="4" s="1"/>
  <c r="AY20" i="4"/>
  <c r="BC20" i="4" s="1"/>
  <c r="AQ20" i="4"/>
  <c r="AU20" i="4" s="1"/>
  <c r="AI20" i="4"/>
  <c r="AM20" i="4" s="1"/>
  <c r="S20" i="4"/>
  <c r="W20" i="4" s="1"/>
  <c r="K20" i="4"/>
  <c r="O20" i="4" s="1"/>
  <c r="C20" i="4"/>
  <c r="G20" i="4" s="1"/>
  <c r="BO19" i="4"/>
  <c r="BS19" i="4" s="1"/>
  <c r="BG19" i="4"/>
  <c r="BK19" i="4" s="1"/>
  <c r="AY19" i="4"/>
  <c r="BC19" i="4" s="1"/>
  <c r="AQ19" i="4"/>
  <c r="AU19" i="4" s="1"/>
  <c r="AM19" i="4"/>
  <c r="AI19" i="4"/>
  <c r="S19" i="4"/>
  <c r="W19" i="4" s="1"/>
  <c r="O19" i="4"/>
  <c r="K19" i="4"/>
  <c r="C19" i="4"/>
  <c r="G19" i="4" s="1"/>
  <c r="BO18" i="4"/>
  <c r="BS18" i="4" s="1"/>
  <c r="BG18" i="4"/>
  <c r="BK18" i="4" s="1"/>
  <c r="AY18" i="4"/>
  <c r="BC18" i="4" s="1"/>
  <c r="AQ18" i="4"/>
  <c r="AU18" i="4" s="1"/>
  <c r="AI18" i="4"/>
  <c r="AM18" i="4" s="1"/>
  <c r="S18" i="4"/>
  <c r="W18" i="4" s="1"/>
  <c r="K18" i="4"/>
  <c r="O18" i="4" s="1"/>
  <c r="C18" i="4"/>
  <c r="G18" i="4" s="1"/>
  <c r="BO17" i="4"/>
  <c r="BS17" i="4" s="1"/>
  <c r="BG17" i="4"/>
  <c r="BK17" i="4" s="1"/>
  <c r="BC17" i="4"/>
  <c r="AY17" i="4"/>
  <c r="AQ17" i="4"/>
  <c r="AU17" i="4" s="1"/>
  <c r="AI17" i="4"/>
  <c r="AM17" i="4" s="1"/>
  <c r="AE17" i="4"/>
  <c r="AA17" i="4"/>
  <c r="S17" i="4"/>
  <c r="W17" i="4" s="1"/>
  <c r="K17" i="4"/>
  <c r="O17" i="4" s="1"/>
  <c r="C17" i="4"/>
  <c r="G17" i="4" s="1"/>
  <c r="BO16" i="4"/>
  <c r="BS16" i="4" s="1"/>
  <c r="BG16" i="4"/>
  <c r="BK16" i="4" s="1"/>
  <c r="AY16" i="4"/>
  <c r="BC16" i="4" s="1"/>
  <c r="AQ16" i="4"/>
  <c r="AU16" i="4" s="1"/>
  <c r="AI16" i="4"/>
  <c r="AM16" i="4" s="1"/>
  <c r="AA16" i="4"/>
  <c r="AE16" i="4" s="1"/>
  <c r="S16" i="4"/>
  <c r="W16" i="4" s="1"/>
  <c r="K16" i="4"/>
  <c r="O16" i="4" s="1"/>
  <c r="C16" i="4"/>
  <c r="G16" i="4" s="1"/>
  <c r="BO15" i="4"/>
  <c r="BS15" i="4" s="1"/>
  <c r="BG15" i="4"/>
  <c r="BK15" i="4" s="1"/>
  <c r="AY15" i="4"/>
  <c r="BC15" i="4" s="1"/>
  <c r="AQ15" i="4"/>
  <c r="AU15" i="4" s="1"/>
  <c r="AI15" i="4"/>
  <c r="AM15" i="4" s="1"/>
  <c r="AA15" i="4"/>
  <c r="AE15" i="4" s="1"/>
  <c r="S15" i="4"/>
  <c r="W15" i="4" s="1"/>
  <c r="K15" i="4"/>
  <c r="O15" i="4" s="1"/>
  <c r="G15" i="4"/>
  <c r="C15" i="4"/>
  <c r="BO14" i="4"/>
  <c r="BS14" i="4" s="1"/>
  <c r="BG14" i="4"/>
  <c r="BK14" i="4" s="1"/>
  <c r="AY14" i="4"/>
  <c r="BC14" i="4" s="1"/>
  <c r="AQ14" i="4"/>
  <c r="AU14" i="4" s="1"/>
  <c r="AI14" i="4"/>
  <c r="AM14" i="4" s="1"/>
  <c r="AA14" i="4"/>
  <c r="AE14" i="4" s="1"/>
  <c r="S14" i="4"/>
  <c r="W14" i="4" s="1"/>
  <c r="K14" i="4"/>
  <c r="O14" i="4" s="1"/>
  <c r="C14" i="4"/>
  <c r="G14" i="4" s="1"/>
  <c r="BO13" i="4"/>
  <c r="BS13" i="4" s="1"/>
  <c r="BG13" i="4"/>
  <c r="BK13" i="4" s="1"/>
  <c r="AY13" i="4"/>
  <c r="BC13" i="4" s="1"/>
  <c r="AQ13" i="4"/>
  <c r="AU13" i="4" s="1"/>
  <c r="AI13" i="4"/>
  <c r="AM13" i="4" s="1"/>
  <c r="AA13" i="4"/>
  <c r="AE13" i="4" s="1"/>
  <c r="S13" i="4"/>
  <c r="W13" i="4" s="1"/>
  <c r="K13" i="4"/>
  <c r="O13" i="4" s="1"/>
  <c r="C13" i="4"/>
  <c r="G13" i="4" s="1"/>
  <c r="BO12" i="4"/>
  <c r="BS12" i="4" s="1"/>
  <c r="BG12" i="4"/>
  <c r="BK12" i="4" s="1"/>
  <c r="AY12" i="4"/>
  <c r="BC12" i="4" s="1"/>
  <c r="AQ12" i="4"/>
  <c r="AU12" i="4" s="1"/>
  <c r="AI12" i="4"/>
  <c r="AM12" i="4" s="1"/>
  <c r="AA12" i="4"/>
  <c r="AE12" i="4" s="1"/>
  <c r="S12" i="4"/>
  <c r="W12" i="4" s="1"/>
  <c r="K12" i="4"/>
  <c r="O12" i="4" s="1"/>
  <c r="C12" i="4"/>
  <c r="G12" i="4" s="1"/>
  <c r="BO11" i="4"/>
  <c r="BS11" i="4" s="1"/>
  <c r="BG11" i="4"/>
  <c r="BK11" i="4" s="1"/>
  <c r="BC11" i="4"/>
  <c r="AY11" i="4"/>
  <c r="AQ11" i="4"/>
  <c r="AU11" i="4" s="1"/>
  <c r="AI11" i="4"/>
  <c r="AM11" i="4" s="1"/>
  <c r="AA11" i="4"/>
  <c r="AE11" i="4" s="1"/>
  <c r="W11" i="4"/>
  <c r="S11" i="4"/>
  <c r="K11" i="4"/>
  <c r="O11" i="4" s="1"/>
  <c r="C11" i="4"/>
  <c r="G11" i="4" s="1"/>
  <c r="BO10" i="4"/>
  <c r="BS10" i="4" s="1"/>
  <c r="BG10" i="4"/>
  <c r="BK10" i="4" s="1"/>
  <c r="AY10" i="4"/>
  <c r="BC10" i="4" s="1"/>
  <c r="AQ10" i="4"/>
  <c r="AU10" i="4" s="1"/>
  <c r="AI10" i="4"/>
  <c r="AM10" i="4" s="1"/>
  <c r="AA10" i="4"/>
  <c r="AE10" i="4" s="1"/>
  <c r="S10" i="4"/>
  <c r="W10" i="4" s="1"/>
  <c r="K10" i="4"/>
  <c r="O10" i="4" s="1"/>
  <c r="C10" i="4"/>
  <c r="G10" i="4" s="1"/>
  <c r="BO9" i="4"/>
  <c r="BS9" i="4" s="1"/>
  <c r="BK9" i="4"/>
  <c r="BG9" i="4"/>
  <c r="AY9" i="4"/>
  <c r="BC9" i="4" s="1"/>
  <c r="AQ9" i="4"/>
  <c r="AU9" i="4" s="1"/>
  <c r="AI9" i="4"/>
  <c r="AM9" i="4" s="1"/>
  <c r="AE9" i="4"/>
  <c r="AA9" i="4"/>
  <c r="S9" i="4"/>
  <c r="W9" i="4" s="1"/>
  <c r="K9" i="4"/>
  <c r="O9" i="4" s="1"/>
  <c r="C9" i="4"/>
  <c r="G9" i="4" s="1"/>
  <c r="BO8" i="4"/>
  <c r="BS8" i="4" s="1"/>
  <c r="BG8" i="4"/>
  <c r="BK8" i="4" s="1"/>
  <c r="AQ8" i="4"/>
  <c r="AU8" i="4" s="1"/>
  <c r="AI8" i="4"/>
  <c r="AM8" i="4" s="1"/>
  <c r="AA8" i="4"/>
  <c r="AE8" i="4" s="1"/>
  <c r="S8" i="4"/>
  <c r="W8" i="4" s="1"/>
  <c r="K8" i="4"/>
  <c r="O8" i="4" s="1"/>
  <c r="C8" i="4"/>
  <c r="G8" i="4" s="1"/>
  <c r="BO7" i="4"/>
  <c r="BS7" i="4" s="1"/>
  <c r="BG7" i="4"/>
  <c r="BK7" i="4" s="1"/>
  <c r="AY7" i="4"/>
  <c r="BC7" i="4" s="1"/>
  <c r="AU7" i="4"/>
  <c r="AQ7" i="4"/>
  <c r="AI7" i="4"/>
  <c r="AM7" i="4" s="1"/>
  <c r="AA7" i="4"/>
  <c r="AE7" i="4" s="1"/>
  <c r="S7" i="4"/>
  <c r="W7" i="4" s="1"/>
  <c r="K7" i="4"/>
  <c r="O7" i="4" s="1"/>
  <c r="C7" i="4"/>
  <c r="G7" i="4" s="1"/>
  <c r="BO6" i="4"/>
  <c r="BS6" i="4" s="1"/>
  <c r="BG6" i="4"/>
  <c r="BK6" i="4" s="1"/>
  <c r="AY6" i="4"/>
  <c r="BC6" i="4" s="1"/>
  <c r="AQ6" i="4"/>
  <c r="AU6" i="4" s="1"/>
  <c r="AI6" i="4"/>
  <c r="AM6" i="4" s="1"/>
  <c r="AA6" i="4"/>
  <c r="AE6" i="4" s="1"/>
  <c r="S6" i="4"/>
  <c r="W6" i="4" s="1"/>
  <c r="K6" i="4"/>
  <c r="O6" i="4" s="1"/>
  <c r="C6" i="4"/>
  <c r="G6" i="4" s="1"/>
  <c r="BO5" i="4"/>
  <c r="BG5" i="4"/>
  <c r="BK5" i="4" s="1"/>
  <c r="AY5" i="4"/>
  <c r="BC5" i="4" s="1"/>
  <c r="AU5" i="4"/>
  <c r="AQ5" i="4"/>
  <c r="AI5" i="4"/>
  <c r="AM5" i="4" s="1"/>
  <c r="AA5" i="4"/>
  <c r="AE5" i="4" s="1"/>
  <c r="W5" i="4"/>
  <c r="S5" i="4"/>
  <c r="K5" i="4"/>
  <c r="O5" i="4" s="1"/>
  <c r="G5" i="4"/>
  <c r="C5" i="4"/>
  <c r="BO4" i="4"/>
  <c r="BG4" i="4"/>
  <c r="AY4" i="4"/>
  <c r="AQ4" i="4"/>
  <c r="AU4" i="4" s="1"/>
  <c r="AI4" i="4"/>
  <c r="AM4" i="4" s="1"/>
  <c r="AA4" i="4"/>
  <c r="S4" i="4"/>
  <c r="K4" i="4"/>
  <c r="O4" i="4" s="1"/>
  <c r="G4" i="4"/>
  <c r="C4" i="4"/>
  <c r="C29" i="4" l="1"/>
  <c r="G29" i="4" s="1"/>
  <c r="BG29" i="4"/>
  <c r="BK29" i="4" s="1"/>
  <c r="BO29" i="4"/>
  <c r="BS4" i="4"/>
  <c r="AI29" i="4"/>
  <c r="AM29" i="4" s="1"/>
  <c r="BS5" i="4"/>
  <c r="BS29" i="4" s="1"/>
  <c r="AA29" i="4"/>
  <c r="AE29" i="4"/>
  <c r="S29" i="4"/>
  <c r="W29" i="4" s="1"/>
  <c r="AY29" i="4"/>
  <c r="BC29" i="4" s="1"/>
  <c r="W4" i="4"/>
  <c r="BC4" i="4"/>
  <c r="K29" i="4"/>
  <c r="O29" i="4" s="1"/>
  <c r="AQ29" i="4"/>
  <c r="AU29" i="4" s="1"/>
  <c r="AE4" i="4"/>
  <c r="BK4" i="4"/>
  <c r="M46" i="3" l="1"/>
  <c r="J46" i="3"/>
  <c r="I46" i="3"/>
  <c r="H46" i="3"/>
  <c r="F46" i="3"/>
  <c r="M43" i="3"/>
  <c r="I43" i="3"/>
  <c r="H43" i="3"/>
  <c r="F43" i="3"/>
  <c r="M40" i="3"/>
  <c r="I40" i="3"/>
  <c r="H40" i="3"/>
  <c r="F40" i="3"/>
  <c r="M37" i="3"/>
  <c r="I37" i="3"/>
  <c r="H37" i="3"/>
  <c r="F37" i="3"/>
  <c r="M34" i="3"/>
  <c r="I34" i="3"/>
  <c r="H34" i="3"/>
  <c r="F34" i="3"/>
  <c r="AL57" i="2"/>
  <c r="AK57" i="2"/>
  <c r="AJ57" i="2"/>
  <c r="AI57" i="2"/>
  <c r="AH57" i="2"/>
  <c r="AG57" i="2"/>
  <c r="AF57" i="2"/>
  <c r="AE57" i="2"/>
  <c r="AD57" i="2"/>
  <c r="AC57" i="2"/>
  <c r="AL56" i="2"/>
  <c r="AK56" i="2"/>
  <c r="AJ56" i="2"/>
  <c r="AI56" i="2"/>
  <c r="AH56" i="2"/>
  <c r="AG56" i="2"/>
  <c r="AF56" i="2"/>
  <c r="AE56" i="2"/>
  <c r="AD56" i="2"/>
  <c r="AC56" i="2"/>
  <c r="Y55" i="2"/>
  <c r="X55" i="2"/>
  <c r="W55" i="2"/>
  <c r="V55" i="2"/>
  <c r="U55" i="2"/>
  <c r="T55" i="2"/>
  <c r="S55" i="2"/>
  <c r="R55" i="2"/>
  <c r="Q55" i="2"/>
  <c r="P55" i="2"/>
  <c r="AL54" i="2"/>
  <c r="AK54" i="2"/>
  <c r="AJ54" i="2"/>
  <c r="AI54" i="2"/>
  <c r="AH54" i="2"/>
  <c r="AG54" i="2"/>
  <c r="AF54" i="2"/>
  <c r="AE54" i="2"/>
  <c r="AD54" i="2"/>
  <c r="AC54" i="2"/>
  <c r="Y54" i="2"/>
  <c r="X54" i="2"/>
  <c r="W54" i="2"/>
  <c r="V54" i="2"/>
  <c r="U54" i="2"/>
  <c r="T54" i="2"/>
  <c r="S54" i="2"/>
  <c r="R54" i="2"/>
  <c r="Q54" i="2"/>
  <c r="P54" i="2"/>
  <c r="AL53" i="2"/>
  <c r="AK53" i="2"/>
  <c r="AJ53" i="2"/>
  <c r="AI53" i="2"/>
  <c r="AH53" i="2"/>
  <c r="AG53" i="2"/>
  <c r="AF53" i="2"/>
  <c r="AE53" i="2"/>
  <c r="AD53" i="2"/>
  <c r="AC53" i="2"/>
  <c r="Y52" i="2"/>
  <c r="X52" i="2"/>
  <c r="W52" i="2"/>
  <c r="V52" i="2"/>
  <c r="U52" i="2"/>
  <c r="T52" i="2"/>
  <c r="S52" i="2"/>
  <c r="R52" i="2"/>
  <c r="Q52" i="2"/>
  <c r="P52" i="2"/>
  <c r="AL51" i="2"/>
  <c r="AK51" i="2"/>
  <c r="AJ51" i="2"/>
  <c r="AI51" i="2"/>
  <c r="AH51" i="2"/>
  <c r="AG51" i="2"/>
  <c r="AF51" i="2"/>
  <c r="AE51" i="2"/>
  <c r="AD51" i="2"/>
  <c r="AC51" i="2"/>
  <c r="Y51" i="2"/>
  <c r="X51" i="2"/>
  <c r="W51" i="2"/>
  <c r="V51" i="2"/>
  <c r="U51" i="2"/>
  <c r="T51" i="2"/>
  <c r="S51" i="2"/>
  <c r="R51" i="2"/>
  <c r="Q51" i="2"/>
  <c r="P51" i="2"/>
  <c r="AL50" i="2"/>
  <c r="AK50" i="2"/>
  <c r="AJ50" i="2"/>
  <c r="AI50" i="2"/>
  <c r="AH50" i="2"/>
  <c r="AG50" i="2"/>
  <c r="AF50" i="2"/>
  <c r="AE50" i="2"/>
  <c r="AD50" i="2"/>
  <c r="AC50" i="2"/>
  <c r="Y49" i="2"/>
  <c r="X49" i="2"/>
  <c r="W49" i="2"/>
  <c r="V49" i="2"/>
  <c r="U49" i="2"/>
  <c r="T49" i="2"/>
  <c r="S49" i="2"/>
  <c r="R49" i="2"/>
  <c r="Q49" i="2"/>
  <c r="P49" i="2"/>
  <c r="L49" i="2"/>
  <c r="K49" i="2"/>
  <c r="J49" i="2"/>
  <c r="I49" i="2"/>
  <c r="H49" i="2"/>
  <c r="G49" i="2"/>
  <c r="F49" i="2"/>
  <c r="E49" i="2"/>
  <c r="D49" i="2"/>
  <c r="C49" i="2"/>
  <c r="B49" i="2"/>
  <c r="AL48" i="2"/>
  <c r="AK48" i="2"/>
  <c r="AJ48" i="2"/>
  <c r="AI48" i="2"/>
  <c r="AH48" i="2"/>
  <c r="AG48" i="2"/>
  <c r="AF48" i="2"/>
  <c r="AE48" i="2"/>
  <c r="AD48" i="2"/>
  <c r="AC48" i="2"/>
  <c r="Y48" i="2"/>
  <c r="X48" i="2"/>
  <c r="W48" i="2"/>
  <c r="V48" i="2"/>
  <c r="U48" i="2"/>
  <c r="T48" i="2"/>
  <c r="S48" i="2"/>
  <c r="R48" i="2"/>
  <c r="Q48" i="2"/>
  <c r="P48" i="2"/>
  <c r="L48" i="2"/>
  <c r="K48" i="2"/>
  <c r="J48" i="2"/>
  <c r="I48" i="2"/>
  <c r="H48" i="2"/>
  <c r="G48" i="2"/>
  <c r="F48" i="2"/>
  <c r="E48" i="2"/>
  <c r="D48" i="2"/>
  <c r="C48" i="2"/>
  <c r="B48" i="2"/>
  <c r="AL47" i="2"/>
  <c r="AK47" i="2"/>
  <c r="AJ47" i="2"/>
  <c r="AI47" i="2"/>
  <c r="AH47" i="2"/>
  <c r="AG47" i="2"/>
  <c r="AF47" i="2"/>
  <c r="AE47" i="2"/>
  <c r="AD47" i="2"/>
  <c r="AC47" i="2"/>
  <c r="Y46" i="2"/>
  <c r="X46" i="2"/>
  <c r="W46" i="2"/>
  <c r="V46" i="2"/>
  <c r="U46" i="2"/>
  <c r="T46" i="2"/>
  <c r="S46" i="2"/>
  <c r="R46" i="2"/>
  <c r="Q46" i="2"/>
  <c r="P46" i="2"/>
  <c r="L46" i="2"/>
  <c r="K46" i="2"/>
  <c r="J46" i="2"/>
  <c r="I46" i="2"/>
  <c r="H46" i="2"/>
  <c r="G46" i="2"/>
  <c r="F46" i="2"/>
  <c r="E46" i="2"/>
  <c r="D46" i="2"/>
  <c r="C46" i="2"/>
  <c r="B46" i="2"/>
  <c r="AN45" i="2"/>
  <c r="Y45" i="2"/>
  <c r="X45" i="2"/>
  <c r="W45" i="2"/>
  <c r="V45" i="2"/>
  <c r="U45" i="2"/>
  <c r="T45" i="2"/>
  <c r="S45" i="2"/>
  <c r="R45" i="2"/>
  <c r="Q45" i="2"/>
  <c r="P45" i="2"/>
  <c r="L45" i="2"/>
  <c r="K45" i="2"/>
  <c r="J45" i="2"/>
  <c r="I45" i="2"/>
  <c r="H45" i="2"/>
  <c r="G45" i="2"/>
  <c r="F45" i="2"/>
  <c r="E45" i="2"/>
  <c r="D45" i="2"/>
  <c r="C45" i="2"/>
  <c r="B45" i="2"/>
  <c r="AN44" i="2"/>
  <c r="Y44" i="2"/>
  <c r="X44" i="2"/>
  <c r="W44" i="2"/>
  <c r="V44" i="2"/>
  <c r="U44" i="2"/>
  <c r="L44" i="2"/>
  <c r="K44" i="2"/>
  <c r="J44" i="2"/>
  <c r="I44" i="2"/>
  <c r="H44" i="2"/>
  <c r="AN43" i="2"/>
  <c r="AN42" i="2"/>
  <c r="Z42" i="2"/>
  <c r="AN41" i="2"/>
  <c r="Z41" i="2"/>
  <c r="AN40" i="2"/>
  <c r="AN57" i="2" s="1"/>
  <c r="Z40" i="2"/>
  <c r="Z39" i="2"/>
  <c r="AN38" i="2"/>
  <c r="Z38" i="2"/>
  <c r="AN37" i="2"/>
  <c r="Z37" i="2"/>
  <c r="AN36" i="2"/>
  <c r="Z36" i="2"/>
  <c r="AN35" i="2"/>
  <c r="Z35" i="2"/>
  <c r="AN34" i="2"/>
  <c r="Z34" i="2"/>
  <c r="AN33" i="2"/>
  <c r="Z33" i="2"/>
  <c r="AN32" i="2"/>
  <c r="Z32" i="2"/>
  <c r="AN31" i="2"/>
  <c r="AN54" i="2" s="1"/>
  <c r="Z31" i="2"/>
  <c r="Z30" i="2"/>
  <c r="AN29" i="2"/>
  <c r="Z29" i="2"/>
  <c r="AN28" i="2"/>
  <c r="Z28" i="2"/>
  <c r="AN27" i="2"/>
  <c r="Z27" i="2"/>
  <c r="AN26" i="2"/>
  <c r="Z26" i="2"/>
  <c r="AN25" i="2"/>
  <c r="Z25" i="2"/>
  <c r="AN24" i="2"/>
  <c r="Z24" i="2"/>
  <c r="AN23" i="2"/>
  <c r="Z23" i="2"/>
  <c r="AN22" i="2"/>
  <c r="Z22" i="2"/>
  <c r="AN21" i="2"/>
  <c r="Z21" i="2"/>
  <c r="AN20" i="2"/>
  <c r="Z20" i="2"/>
  <c r="AN19" i="2"/>
  <c r="Z19" i="2"/>
  <c r="AN18" i="2"/>
  <c r="Z18" i="2"/>
  <c r="AN17" i="2"/>
  <c r="Z17" i="2"/>
  <c r="AN16" i="2"/>
  <c r="Z16" i="2"/>
  <c r="AN15" i="2"/>
  <c r="Z15" i="2"/>
  <c r="AN14" i="2"/>
  <c r="Z14" i="2"/>
  <c r="AN13" i="2"/>
  <c r="AN51" i="2" s="1"/>
  <c r="Z13" i="2"/>
  <c r="Z12" i="2"/>
  <c r="AN11" i="2"/>
  <c r="Z11" i="2"/>
  <c r="AN10" i="2"/>
  <c r="Z10" i="2"/>
  <c r="AN9" i="2"/>
  <c r="Z9" i="2"/>
  <c r="AN8" i="2"/>
  <c r="Z8" i="2"/>
  <c r="AN7" i="2"/>
  <c r="Z7" i="2"/>
  <c r="AN6" i="2"/>
  <c r="Z6" i="2"/>
  <c r="AN5" i="2"/>
  <c r="Z5" i="2"/>
  <c r="AN4" i="2"/>
  <c r="Z4" i="2"/>
  <c r="AN3" i="2"/>
  <c r="Z3" i="2"/>
  <c r="AN2" i="2"/>
  <c r="AN48" i="2" s="1"/>
  <c r="Z2" i="2"/>
  <c r="LD36" i="1"/>
  <c r="IV40" i="1"/>
  <c r="IU40" i="1"/>
  <c r="IT40" i="1"/>
  <c r="IR40" i="1"/>
  <c r="IN40" i="1"/>
  <c r="IM40" i="1"/>
  <c r="IL40" i="1"/>
  <c r="IJ40" i="1"/>
  <c r="KB39" i="1"/>
  <c r="KA39" i="1"/>
  <c r="JZ39" i="1"/>
  <c r="JX39" i="1"/>
  <c r="JT39" i="1"/>
  <c r="JS39" i="1"/>
  <c r="JR39" i="1"/>
  <c r="JP39" i="1"/>
  <c r="IF39" i="1"/>
  <c r="IE39" i="1"/>
  <c r="ID39" i="1"/>
  <c r="IB39" i="1"/>
  <c r="GB39" i="1"/>
  <c r="GA39" i="1"/>
  <c r="FZ39" i="1"/>
  <c r="FX39" i="1"/>
  <c r="FL39" i="1"/>
  <c r="FK39" i="1"/>
  <c r="FJ39" i="1"/>
  <c r="FH39" i="1"/>
  <c r="FD39" i="1"/>
  <c r="FC39" i="1"/>
  <c r="FB39" i="1"/>
  <c r="EZ39" i="1"/>
  <c r="KJ38" i="1"/>
  <c r="KI38" i="1"/>
  <c r="KH38" i="1"/>
  <c r="KF38" i="1"/>
  <c r="IF38" i="1"/>
  <c r="IE38" i="1"/>
  <c r="ID38" i="1"/>
  <c r="IB38" i="1"/>
  <c r="GR38" i="1"/>
  <c r="GQ38" i="1"/>
  <c r="GP38" i="1"/>
  <c r="GN38" i="1"/>
  <c r="GB38" i="1"/>
  <c r="GA38" i="1"/>
  <c r="FZ38" i="1"/>
  <c r="FX38" i="1"/>
  <c r="FD38" i="1"/>
  <c r="FC38" i="1"/>
  <c r="FB38" i="1"/>
  <c r="EZ38" i="1"/>
  <c r="EN38" i="1"/>
  <c r="EM38" i="1"/>
  <c r="EL38" i="1"/>
  <c r="EJ38" i="1"/>
  <c r="LP37" i="1"/>
  <c r="LO37" i="1"/>
  <c r="LN37" i="1"/>
  <c r="LL37" i="1"/>
  <c r="LH37" i="1"/>
  <c r="LG37" i="1"/>
  <c r="LF37" i="1"/>
  <c r="LD37" i="1"/>
  <c r="KR37" i="1"/>
  <c r="KQ37" i="1"/>
  <c r="KP37" i="1"/>
  <c r="KN37" i="1"/>
  <c r="KJ37" i="1"/>
  <c r="KI37" i="1"/>
  <c r="KH37" i="1"/>
  <c r="KF37" i="1"/>
  <c r="KB37" i="1"/>
  <c r="KA37" i="1"/>
  <c r="JZ37" i="1"/>
  <c r="JX37" i="1"/>
  <c r="JT37" i="1"/>
  <c r="JS37" i="1"/>
  <c r="JR37" i="1"/>
  <c r="JP37" i="1"/>
  <c r="JL37" i="1"/>
  <c r="JK37" i="1"/>
  <c r="JJ37" i="1"/>
  <c r="JH37" i="1"/>
  <c r="JD37" i="1"/>
  <c r="JC37" i="1"/>
  <c r="JB37" i="1"/>
  <c r="IZ37" i="1"/>
  <c r="IV37" i="1"/>
  <c r="IU37" i="1"/>
  <c r="IT37" i="1"/>
  <c r="IR37" i="1"/>
  <c r="IF37" i="1"/>
  <c r="IE37" i="1"/>
  <c r="ID37" i="1"/>
  <c r="IB37" i="1"/>
  <c r="HH37" i="1"/>
  <c r="HG37" i="1"/>
  <c r="HF37" i="1"/>
  <c r="HD37" i="1"/>
  <c r="GZ37" i="1"/>
  <c r="GY37" i="1"/>
  <c r="GX37" i="1"/>
  <c r="GV37" i="1"/>
  <c r="GJ37" i="1"/>
  <c r="GI37" i="1"/>
  <c r="GH37" i="1"/>
  <c r="GF37" i="1"/>
  <c r="GB37" i="1"/>
  <c r="GA37" i="1"/>
  <c r="FZ37" i="1"/>
  <c r="FX37" i="1"/>
  <c r="FT37" i="1"/>
  <c r="FS37" i="1"/>
  <c r="FR37" i="1"/>
  <c r="FP37" i="1"/>
  <c r="FL37" i="1"/>
  <c r="FK37" i="1"/>
  <c r="FJ37" i="1"/>
  <c r="FH37" i="1"/>
  <c r="FD37" i="1"/>
  <c r="FC37" i="1"/>
  <c r="FB37" i="1"/>
  <c r="EZ37" i="1"/>
  <c r="EV37" i="1"/>
  <c r="EU37" i="1"/>
  <c r="ET37" i="1"/>
  <c r="ER37" i="1"/>
  <c r="EN37" i="1"/>
  <c r="EM37" i="1"/>
  <c r="EL37" i="1"/>
  <c r="EJ37" i="1"/>
  <c r="EF37" i="1"/>
  <c r="EE37" i="1"/>
  <c r="ED37" i="1"/>
  <c r="EB37" i="1"/>
  <c r="LP36" i="1"/>
  <c r="LO36" i="1"/>
  <c r="LN36" i="1"/>
  <c r="LL36" i="1"/>
  <c r="LH36" i="1"/>
  <c r="LG36" i="1"/>
  <c r="LF36" i="1"/>
  <c r="KR36" i="1"/>
  <c r="KQ36" i="1"/>
  <c r="KP36" i="1"/>
  <c r="KN36" i="1"/>
  <c r="KJ36" i="1"/>
  <c r="KI36" i="1"/>
  <c r="KH36" i="1"/>
  <c r="KF36" i="1"/>
  <c r="KB36" i="1"/>
  <c r="KA36" i="1"/>
  <c r="JZ36" i="1"/>
  <c r="JX36" i="1"/>
  <c r="JT36" i="1"/>
  <c r="JS36" i="1"/>
  <c r="JR36" i="1"/>
  <c r="JP36" i="1"/>
  <c r="JD36" i="1"/>
  <c r="JC36" i="1"/>
  <c r="JB36" i="1"/>
  <c r="IZ36" i="1"/>
  <c r="IV36" i="1"/>
  <c r="IU36" i="1"/>
  <c r="IT36" i="1"/>
  <c r="IR36" i="1"/>
  <c r="IF36" i="1"/>
  <c r="IE36" i="1"/>
  <c r="ID36" i="1"/>
  <c r="IB36" i="1"/>
  <c r="GZ36" i="1"/>
  <c r="GY36" i="1"/>
  <c r="GX36" i="1"/>
  <c r="GV36" i="1"/>
  <c r="GR36" i="1"/>
  <c r="GQ36" i="1"/>
  <c r="GP36" i="1"/>
  <c r="GN36" i="1"/>
  <c r="GJ36" i="1"/>
  <c r="GI36" i="1"/>
  <c r="GH36" i="1"/>
  <c r="GF36" i="1"/>
  <c r="GB36" i="1"/>
  <c r="GA36" i="1"/>
  <c r="FZ36" i="1"/>
  <c r="FX36" i="1"/>
  <c r="FT36" i="1"/>
  <c r="FS36" i="1"/>
  <c r="FR36" i="1"/>
  <c r="FP36" i="1"/>
  <c r="FL36" i="1"/>
  <c r="FK36" i="1"/>
  <c r="FJ36" i="1"/>
  <c r="FH36" i="1"/>
  <c r="FD36" i="1"/>
  <c r="FC36" i="1"/>
  <c r="FB36" i="1"/>
  <c r="EZ36" i="1"/>
  <c r="EV36" i="1"/>
  <c r="EU36" i="1"/>
  <c r="ET36" i="1"/>
  <c r="ER36" i="1"/>
  <c r="LP29" i="1"/>
  <c r="LO29" i="1"/>
  <c r="LN29" i="1"/>
  <c r="LL29" i="1"/>
  <c r="LH29" i="1"/>
  <c r="LG29" i="1"/>
  <c r="LF29" i="1"/>
  <c r="LD29" i="1"/>
  <c r="KZ29" i="1"/>
  <c r="KY29" i="1"/>
  <c r="KX29" i="1"/>
  <c r="KV29" i="1"/>
  <c r="KR29" i="1"/>
  <c r="KQ29" i="1"/>
  <c r="KP29" i="1"/>
  <c r="KN29" i="1"/>
  <c r="KJ29" i="1"/>
  <c r="KI29" i="1"/>
  <c r="KH29" i="1"/>
  <c r="KF29" i="1"/>
  <c r="KB29" i="1"/>
  <c r="KA29" i="1"/>
  <c r="JZ29" i="1"/>
  <c r="JX29" i="1"/>
  <c r="JT29" i="1"/>
  <c r="JS29" i="1"/>
  <c r="JR29" i="1"/>
  <c r="JP29" i="1"/>
  <c r="JL29" i="1"/>
  <c r="JK29" i="1"/>
  <c r="JJ29" i="1"/>
  <c r="JH29" i="1"/>
  <c r="JD29" i="1"/>
  <c r="JC29" i="1"/>
  <c r="JB29" i="1"/>
  <c r="IZ29" i="1"/>
  <c r="IV29" i="1"/>
  <c r="IU29" i="1"/>
  <c r="IT29" i="1"/>
  <c r="IR29" i="1"/>
  <c r="IN29" i="1"/>
  <c r="IM29" i="1"/>
  <c r="IL29" i="1"/>
  <c r="IJ29" i="1"/>
  <c r="IF29" i="1"/>
  <c r="IE29" i="1"/>
  <c r="ID29" i="1"/>
  <c r="IB29" i="1"/>
  <c r="HX29" i="1"/>
  <c r="HW29" i="1"/>
  <c r="HV29" i="1"/>
  <c r="HT29" i="1"/>
  <c r="HP29" i="1"/>
  <c r="HO29" i="1"/>
  <c r="HN29" i="1"/>
  <c r="HL29" i="1"/>
  <c r="HH29" i="1"/>
  <c r="HG29" i="1"/>
  <c r="HF29" i="1"/>
  <c r="HD29" i="1"/>
  <c r="GZ29" i="1"/>
  <c r="GY29" i="1"/>
  <c r="GX29" i="1"/>
  <c r="GV29" i="1"/>
  <c r="GR29" i="1"/>
  <c r="GQ29" i="1"/>
  <c r="GP29" i="1"/>
  <c r="GN29" i="1"/>
  <c r="GJ29" i="1"/>
  <c r="GI29" i="1"/>
  <c r="GH29" i="1"/>
  <c r="GF29" i="1"/>
  <c r="GB29" i="1"/>
  <c r="GA29" i="1"/>
  <c r="FZ29" i="1"/>
  <c r="FX29" i="1"/>
  <c r="FT29" i="1"/>
  <c r="FS29" i="1"/>
  <c r="FR29" i="1"/>
  <c r="FP29" i="1"/>
  <c r="FL29" i="1"/>
  <c r="FK29" i="1"/>
  <c r="FJ29" i="1"/>
  <c r="FH29" i="1"/>
  <c r="FD29" i="1"/>
  <c r="FC29" i="1"/>
  <c r="FB29" i="1"/>
  <c r="EZ29" i="1"/>
  <c r="EV29" i="1"/>
  <c r="EU29" i="1"/>
  <c r="ET29" i="1"/>
  <c r="ER29" i="1"/>
  <c r="EN29" i="1"/>
  <c r="EM29" i="1"/>
  <c r="EL29" i="1"/>
  <c r="EJ29" i="1"/>
  <c r="EF29" i="1"/>
  <c r="EE29" i="1"/>
  <c r="ED29" i="1"/>
  <c r="EB29" i="1"/>
  <c r="DW29" i="1"/>
  <c r="DV29" i="1"/>
  <c r="DU29" i="1"/>
  <c r="DS29" i="1"/>
  <c r="DO29" i="1"/>
  <c r="DN29" i="1"/>
  <c r="DM29" i="1"/>
  <c r="DK29" i="1"/>
  <c r="DG29" i="1"/>
  <c r="DF29" i="1"/>
  <c r="DE29" i="1"/>
  <c r="DC29" i="1"/>
  <c r="CY29" i="1"/>
  <c r="CX29" i="1"/>
  <c r="CW29" i="1"/>
  <c r="CU29" i="1"/>
  <c r="CQ29" i="1"/>
  <c r="CP29" i="1"/>
  <c r="CO29" i="1"/>
  <c r="CM29" i="1"/>
  <c r="CI29" i="1"/>
  <c r="CH29" i="1"/>
  <c r="CG29" i="1"/>
  <c r="CE29" i="1"/>
  <c r="CA29" i="1"/>
  <c r="BZ29" i="1"/>
  <c r="BY29" i="1"/>
  <c r="BW29" i="1"/>
  <c r="BS29" i="1"/>
  <c r="BR29" i="1"/>
  <c r="BQ29" i="1"/>
  <c r="BO29" i="1"/>
  <c r="BK29" i="1"/>
  <c r="BJ29" i="1"/>
  <c r="BI29" i="1"/>
  <c r="BG29" i="1"/>
  <c r="BC29" i="1"/>
  <c r="BB29" i="1"/>
  <c r="BA29" i="1"/>
  <c r="AY29" i="1"/>
  <c r="AU29" i="1"/>
  <c r="AT29" i="1"/>
  <c r="AS29" i="1"/>
  <c r="AQ29" i="1"/>
  <c r="AM29" i="1"/>
  <c r="AL29" i="1"/>
  <c r="AK29" i="1"/>
  <c r="AI29" i="1"/>
  <c r="AE29" i="1"/>
  <c r="AD29" i="1"/>
  <c r="AC29" i="1"/>
  <c r="AA29" i="1"/>
  <c r="W29" i="1"/>
  <c r="V29" i="1"/>
  <c r="U29" i="1"/>
  <c r="S29" i="1"/>
  <c r="O29" i="1"/>
  <c r="N29" i="1"/>
  <c r="M29" i="1"/>
  <c r="K29" i="1"/>
  <c r="F29" i="1"/>
  <c r="E29" i="1"/>
  <c r="D29" i="1"/>
  <c r="B29" i="1"/>
  <c r="LE28" i="1"/>
  <c r="LI28" i="1" s="1"/>
  <c r="LJ28" i="1" s="1"/>
  <c r="KW28" i="1"/>
  <c r="LA28" i="1" s="1"/>
  <c r="KO28" i="1"/>
  <c r="KS28" i="1" s="1"/>
  <c r="KG28" i="1"/>
  <c r="KK28" i="1" s="1"/>
  <c r="JY28" i="1"/>
  <c r="KC28" i="1" s="1"/>
  <c r="JQ28" i="1"/>
  <c r="JU28" i="1" s="1"/>
  <c r="JA28" i="1"/>
  <c r="JE28" i="1" s="1"/>
  <c r="IS28" i="1"/>
  <c r="IW28" i="1" s="1"/>
  <c r="IC28" i="1"/>
  <c r="IG28" i="1" s="1"/>
  <c r="HY28" i="1"/>
  <c r="GW28" i="1"/>
  <c r="HA28" i="1" s="1"/>
  <c r="HB28" i="1" s="1"/>
  <c r="GO28" i="1"/>
  <c r="GS28" i="1" s="1"/>
  <c r="GG28" i="1"/>
  <c r="GK28" i="1" s="1"/>
  <c r="FY28" i="1"/>
  <c r="GC28" i="1" s="1"/>
  <c r="FQ28" i="1"/>
  <c r="FU28" i="1" s="1"/>
  <c r="FI28" i="1"/>
  <c r="FM28" i="1" s="1"/>
  <c r="FA28" i="1"/>
  <c r="FE28" i="1" s="1"/>
  <c r="EK28" i="1"/>
  <c r="EO28" i="1" s="1"/>
  <c r="EP28" i="1" s="1"/>
  <c r="DT28" i="1"/>
  <c r="DX28" i="1" s="1"/>
  <c r="DL28" i="1"/>
  <c r="DP28" i="1" s="1"/>
  <c r="DD28" i="1"/>
  <c r="DH28" i="1" s="1"/>
  <c r="CV28" i="1"/>
  <c r="CZ28" i="1" s="1"/>
  <c r="CN28" i="1"/>
  <c r="CR28" i="1" s="1"/>
  <c r="BX28" i="1"/>
  <c r="CB28" i="1" s="1"/>
  <c r="AZ28" i="1"/>
  <c r="BD28" i="1" s="1"/>
  <c r="AJ28" i="1"/>
  <c r="AN28" i="1" s="1"/>
  <c r="T28" i="1"/>
  <c r="X28" i="1" s="1"/>
  <c r="LE27" i="1"/>
  <c r="LI27" i="1" s="1"/>
  <c r="KW27" i="1"/>
  <c r="LA27" i="1" s="1"/>
  <c r="KS27" i="1"/>
  <c r="KO27" i="1"/>
  <c r="KG27" i="1"/>
  <c r="KK27" i="1" s="1"/>
  <c r="JY27" i="1"/>
  <c r="KC27" i="1" s="1"/>
  <c r="JQ27" i="1"/>
  <c r="JU27" i="1" s="1"/>
  <c r="JA27" i="1"/>
  <c r="JE27" i="1" s="1"/>
  <c r="IS27" i="1"/>
  <c r="IW27" i="1" s="1"/>
  <c r="IC27" i="1"/>
  <c r="IG27" i="1" s="1"/>
  <c r="HU27" i="1"/>
  <c r="HY27" i="1" s="1"/>
  <c r="GW27" i="1"/>
  <c r="HA27" i="1" s="1"/>
  <c r="HB27" i="1" s="1"/>
  <c r="GO27" i="1"/>
  <c r="GS27" i="1" s="1"/>
  <c r="GG27" i="1"/>
  <c r="GK27" i="1" s="1"/>
  <c r="FY27" i="1"/>
  <c r="GC27" i="1" s="1"/>
  <c r="FQ27" i="1"/>
  <c r="FU27" i="1" s="1"/>
  <c r="FI27" i="1"/>
  <c r="FM27" i="1" s="1"/>
  <c r="FA27" i="1"/>
  <c r="FE27" i="1" s="1"/>
  <c r="EK27" i="1"/>
  <c r="EO27" i="1" s="1"/>
  <c r="EP27" i="1" s="1"/>
  <c r="DT27" i="1"/>
  <c r="DX27" i="1" s="1"/>
  <c r="DL27" i="1"/>
  <c r="DP27" i="1" s="1"/>
  <c r="DD27" i="1"/>
  <c r="DH27" i="1" s="1"/>
  <c r="CV27" i="1"/>
  <c r="CZ27" i="1" s="1"/>
  <c r="CN27" i="1"/>
  <c r="CR27" i="1" s="1"/>
  <c r="BX27" i="1"/>
  <c r="CB27" i="1" s="1"/>
  <c r="AZ27" i="1"/>
  <c r="BD27" i="1" s="1"/>
  <c r="AR27" i="1"/>
  <c r="AV27" i="1" s="1"/>
  <c r="AJ27" i="1"/>
  <c r="AN27" i="1" s="1"/>
  <c r="T27" i="1"/>
  <c r="X27" i="1" s="1"/>
  <c r="KW26" i="1"/>
  <c r="LA26" i="1" s="1"/>
  <c r="KO26" i="1"/>
  <c r="KS26" i="1" s="1"/>
  <c r="KG26" i="1"/>
  <c r="KK26" i="1" s="1"/>
  <c r="JY26" i="1"/>
  <c r="KC26" i="1" s="1"/>
  <c r="JQ26" i="1"/>
  <c r="JU26" i="1" s="1"/>
  <c r="JA26" i="1"/>
  <c r="JE26" i="1" s="1"/>
  <c r="IS26" i="1"/>
  <c r="IW26" i="1" s="1"/>
  <c r="IC26" i="1"/>
  <c r="IG26" i="1" s="1"/>
  <c r="HU26" i="1"/>
  <c r="HY26" i="1" s="1"/>
  <c r="GW26" i="1"/>
  <c r="HA26" i="1" s="1"/>
  <c r="GO26" i="1"/>
  <c r="GS26" i="1" s="1"/>
  <c r="GG26" i="1"/>
  <c r="GK26" i="1" s="1"/>
  <c r="FY26" i="1"/>
  <c r="GC26" i="1" s="1"/>
  <c r="FQ26" i="1"/>
  <c r="FU26" i="1" s="1"/>
  <c r="FI26" i="1"/>
  <c r="FM26" i="1" s="1"/>
  <c r="FN26" i="1" s="1"/>
  <c r="FA26" i="1"/>
  <c r="FE26" i="1" s="1"/>
  <c r="EK26" i="1"/>
  <c r="EO26" i="1" s="1"/>
  <c r="EP26" i="1" s="1"/>
  <c r="DT26" i="1"/>
  <c r="DX26" i="1" s="1"/>
  <c r="DL26" i="1"/>
  <c r="DP26" i="1" s="1"/>
  <c r="DD26" i="1"/>
  <c r="DH26" i="1" s="1"/>
  <c r="CV26" i="1"/>
  <c r="CZ26" i="1" s="1"/>
  <c r="CN26" i="1"/>
  <c r="CR26" i="1" s="1"/>
  <c r="BX26" i="1"/>
  <c r="CB26" i="1" s="1"/>
  <c r="AZ26" i="1"/>
  <c r="BD26" i="1" s="1"/>
  <c r="AR26" i="1"/>
  <c r="AV26" i="1" s="1"/>
  <c r="AJ26" i="1"/>
  <c r="AN26" i="1" s="1"/>
  <c r="T26" i="1"/>
  <c r="X26" i="1" s="1"/>
  <c r="LI25" i="1"/>
  <c r="LJ25" i="1" s="1"/>
  <c r="LE25" i="1"/>
  <c r="KW25" i="1"/>
  <c r="LA25" i="1" s="1"/>
  <c r="KO25" i="1"/>
  <c r="KS25" i="1" s="1"/>
  <c r="KG25" i="1"/>
  <c r="KK25" i="1" s="1"/>
  <c r="JY25" i="1"/>
  <c r="KC25" i="1" s="1"/>
  <c r="JQ25" i="1"/>
  <c r="JU25" i="1" s="1"/>
  <c r="JA25" i="1"/>
  <c r="JE25" i="1" s="1"/>
  <c r="IS25" i="1"/>
  <c r="IW25" i="1" s="1"/>
  <c r="IC25" i="1"/>
  <c r="IG25" i="1" s="1"/>
  <c r="HU25" i="1"/>
  <c r="HY25" i="1" s="1"/>
  <c r="HZ25" i="1" s="1"/>
  <c r="GW25" i="1"/>
  <c r="HA25" i="1" s="1"/>
  <c r="GO25" i="1"/>
  <c r="GS25" i="1" s="1"/>
  <c r="GG25" i="1"/>
  <c r="GK25" i="1" s="1"/>
  <c r="FY25" i="1"/>
  <c r="GC25" i="1" s="1"/>
  <c r="FQ25" i="1"/>
  <c r="FU25" i="1" s="1"/>
  <c r="FI25" i="1"/>
  <c r="FM25" i="1" s="1"/>
  <c r="FN25" i="1" s="1"/>
  <c r="FA25" i="1"/>
  <c r="FE25" i="1" s="1"/>
  <c r="EK25" i="1"/>
  <c r="EO25" i="1" s="1"/>
  <c r="DX25" i="1"/>
  <c r="DT25" i="1"/>
  <c r="DL25" i="1"/>
  <c r="DP25" i="1" s="1"/>
  <c r="DH25" i="1"/>
  <c r="DD25" i="1"/>
  <c r="CV25" i="1"/>
  <c r="CZ25" i="1" s="1"/>
  <c r="CN25" i="1"/>
  <c r="CR25" i="1" s="1"/>
  <c r="BX25" i="1"/>
  <c r="CB25" i="1" s="1"/>
  <c r="AZ25" i="1"/>
  <c r="BD25" i="1" s="1"/>
  <c r="AR25" i="1"/>
  <c r="AV25" i="1" s="1"/>
  <c r="AJ25" i="1"/>
  <c r="AN25" i="1" s="1"/>
  <c r="T25" i="1"/>
  <c r="X25" i="1" s="1"/>
  <c r="LE24" i="1"/>
  <c r="LI24" i="1" s="1"/>
  <c r="KW24" i="1"/>
  <c r="LA24" i="1" s="1"/>
  <c r="KO24" i="1"/>
  <c r="KS24" i="1" s="1"/>
  <c r="KG24" i="1"/>
  <c r="KK24" i="1" s="1"/>
  <c r="JY24" i="1"/>
  <c r="KC24" i="1" s="1"/>
  <c r="JQ24" i="1"/>
  <c r="JU24" i="1" s="1"/>
  <c r="JA24" i="1"/>
  <c r="JE24" i="1" s="1"/>
  <c r="IS24" i="1"/>
  <c r="IW24" i="1" s="1"/>
  <c r="IC24" i="1"/>
  <c r="IG24" i="1" s="1"/>
  <c r="HU24" i="1"/>
  <c r="HY24" i="1" s="1"/>
  <c r="GW24" i="1"/>
  <c r="HA24" i="1" s="1"/>
  <c r="GO24" i="1"/>
  <c r="GS24" i="1" s="1"/>
  <c r="GG24" i="1"/>
  <c r="GK24" i="1" s="1"/>
  <c r="FY24" i="1"/>
  <c r="GC24" i="1" s="1"/>
  <c r="FQ24" i="1"/>
  <c r="FU24" i="1" s="1"/>
  <c r="FI24" i="1"/>
  <c r="FM24" i="1" s="1"/>
  <c r="FA24" i="1"/>
  <c r="FE24" i="1" s="1"/>
  <c r="EK24" i="1"/>
  <c r="EO24" i="1" s="1"/>
  <c r="DX24" i="1"/>
  <c r="DT24" i="1"/>
  <c r="DL24" i="1"/>
  <c r="DP24" i="1" s="1"/>
  <c r="DD24" i="1"/>
  <c r="DH24" i="1" s="1"/>
  <c r="CV24" i="1"/>
  <c r="CZ24" i="1" s="1"/>
  <c r="CN24" i="1"/>
  <c r="CR24" i="1" s="1"/>
  <c r="BX24" i="1"/>
  <c r="CB24" i="1" s="1"/>
  <c r="AZ24" i="1"/>
  <c r="BD24" i="1" s="1"/>
  <c r="AR24" i="1"/>
  <c r="AV24" i="1" s="1"/>
  <c r="AJ24" i="1"/>
  <c r="AN24" i="1" s="1"/>
  <c r="T24" i="1"/>
  <c r="X24" i="1" s="1"/>
  <c r="LE23" i="1"/>
  <c r="LI23" i="1" s="1"/>
  <c r="LJ23" i="1" s="1"/>
  <c r="KW23" i="1"/>
  <c r="LA23" i="1" s="1"/>
  <c r="KO23" i="1"/>
  <c r="KS23" i="1" s="1"/>
  <c r="KG23" i="1"/>
  <c r="KK23" i="1" s="1"/>
  <c r="JY23" i="1"/>
  <c r="KC23" i="1" s="1"/>
  <c r="JQ23" i="1"/>
  <c r="JU23" i="1" s="1"/>
  <c r="JA23" i="1"/>
  <c r="JE23" i="1" s="1"/>
  <c r="IS23" i="1"/>
  <c r="IW23" i="1" s="1"/>
  <c r="IC23" i="1"/>
  <c r="IG23" i="1" s="1"/>
  <c r="HU23" i="1"/>
  <c r="HY23" i="1" s="1"/>
  <c r="GW23" i="1"/>
  <c r="HA23" i="1" s="1"/>
  <c r="GO23" i="1"/>
  <c r="GS23" i="1" s="1"/>
  <c r="GG23" i="1"/>
  <c r="GK23" i="1" s="1"/>
  <c r="FY23" i="1"/>
  <c r="GC23" i="1" s="1"/>
  <c r="FQ23" i="1"/>
  <c r="FU23" i="1" s="1"/>
  <c r="FI23" i="1"/>
  <c r="FM23" i="1" s="1"/>
  <c r="FA23" i="1"/>
  <c r="FE23" i="1" s="1"/>
  <c r="EK23" i="1"/>
  <c r="EO23" i="1" s="1"/>
  <c r="DT23" i="1"/>
  <c r="DX23" i="1" s="1"/>
  <c r="DL23" i="1"/>
  <c r="DP23" i="1" s="1"/>
  <c r="DH23" i="1"/>
  <c r="DD23" i="1"/>
  <c r="CV23" i="1"/>
  <c r="CZ23" i="1" s="1"/>
  <c r="CN23" i="1"/>
  <c r="CR23" i="1" s="1"/>
  <c r="BX23" i="1"/>
  <c r="CB23" i="1" s="1"/>
  <c r="AZ23" i="1"/>
  <c r="BD23" i="1" s="1"/>
  <c r="AR23" i="1"/>
  <c r="AV23" i="1" s="1"/>
  <c r="AJ23" i="1"/>
  <c r="AN23" i="1" s="1"/>
  <c r="T23" i="1"/>
  <c r="X23" i="1" s="1"/>
  <c r="L23" i="1"/>
  <c r="P23" i="1" s="1"/>
  <c r="LE22" i="1"/>
  <c r="LI22" i="1" s="1"/>
  <c r="LJ22" i="1" s="1"/>
  <c r="KW22" i="1"/>
  <c r="LA22" i="1" s="1"/>
  <c r="KO22" i="1"/>
  <c r="KS22" i="1" s="1"/>
  <c r="KG22" i="1"/>
  <c r="KK22" i="1" s="1"/>
  <c r="JY22" i="1"/>
  <c r="KC22" i="1" s="1"/>
  <c r="KD22" i="1" s="1"/>
  <c r="JQ22" i="1"/>
  <c r="JU22" i="1" s="1"/>
  <c r="JA22" i="1"/>
  <c r="JE22" i="1" s="1"/>
  <c r="IS22" i="1"/>
  <c r="IW22" i="1" s="1"/>
  <c r="IC22" i="1"/>
  <c r="IG22" i="1" s="1"/>
  <c r="HU22" i="1"/>
  <c r="HY22" i="1" s="1"/>
  <c r="HE22" i="1"/>
  <c r="HI22" i="1" s="1"/>
  <c r="HJ22" i="1" s="1"/>
  <c r="GW22" i="1"/>
  <c r="HA22" i="1" s="1"/>
  <c r="GO22" i="1"/>
  <c r="GS22" i="1" s="1"/>
  <c r="GG22" i="1"/>
  <c r="GK22" i="1" s="1"/>
  <c r="FY22" i="1"/>
  <c r="GC22" i="1" s="1"/>
  <c r="FQ22" i="1"/>
  <c r="FU22" i="1" s="1"/>
  <c r="FI22" i="1"/>
  <c r="FM22" i="1" s="1"/>
  <c r="FA22" i="1"/>
  <c r="FE22" i="1" s="1"/>
  <c r="EK22" i="1"/>
  <c r="EO22" i="1" s="1"/>
  <c r="DX22" i="1"/>
  <c r="DT22" i="1"/>
  <c r="DL22" i="1"/>
  <c r="DP22" i="1" s="1"/>
  <c r="DD22" i="1"/>
  <c r="DH22" i="1" s="1"/>
  <c r="CV22" i="1"/>
  <c r="CZ22" i="1" s="1"/>
  <c r="CN22" i="1"/>
  <c r="CR22" i="1" s="1"/>
  <c r="BX22" i="1"/>
  <c r="CB22" i="1" s="1"/>
  <c r="AZ22" i="1"/>
  <c r="BD22" i="1" s="1"/>
  <c r="AR22" i="1"/>
  <c r="AV22" i="1" s="1"/>
  <c r="AJ22" i="1"/>
  <c r="AN22" i="1" s="1"/>
  <c r="T22" i="1"/>
  <c r="X22" i="1" s="1"/>
  <c r="L22" i="1"/>
  <c r="P22" i="1" s="1"/>
  <c r="LI21" i="1"/>
  <c r="LJ21" i="1" s="1"/>
  <c r="LE21" i="1"/>
  <c r="KW21" i="1"/>
  <c r="LA21" i="1" s="1"/>
  <c r="KO21" i="1"/>
  <c r="KS21" i="1" s="1"/>
  <c r="KT21" i="1" s="1"/>
  <c r="KG21" i="1"/>
  <c r="KK21" i="1" s="1"/>
  <c r="JY21" i="1"/>
  <c r="KC21" i="1" s="1"/>
  <c r="JQ21" i="1"/>
  <c r="JU21" i="1" s="1"/>
  <c r="JA21" i="1"/>
  <c r="JE21" i="1" s="1"/>
  <c r="IS21" i="1"/>
  <c r="IW21" i="1" s="1"/>
  <c r="IC21" i="1"/>
  <c r="IG21" i="1" s="1"/>
  <c r="HU21" i="1"/>
  <c r="HY21" i="1" s="1"/>
  <c r="HE21" i="1"/>
  <c r="HI21" i="1" s="1"/>
  <c r="GW21" i="1"/>
  <c r="HA21" i="1" s="1"/>
  <c r="GO21" i="1"/>
  <c r="GS21" i="1" s="1"/>
  <c r="GG21" i="1"/>
  <c r="GK21" i="1" s="1"/>
  <c r="FY21" i="1"/>
  <c r="GC21" i="1" s="1"/>
  <c r="FQ21" i="1"/>
  <c r="FU21" i="1" s="1"/>
  <c r="FI21" i="1"/>
  <c r="FM21" i="1" s="1"/>
  <c r="FA21" i="1"/>
  <c r="FE21" i="1" s="1"/>
  <c r="ES21" i="1"/>
  <c r="EW21" i="1" s="1"/>
  <c r="EK21" i="1"/>
  <c r="EO21" i="1" s="1"/>
  <c r="DT21" i="1"/>
  <c r="DX21" i="1" s="1"/>
  <c r="DL21" i="1"/>
  <c r="DP21" i="1" s="1"/>
  <c r="DD21" i="1"/>
  <c r="DH21" i="1" s="1"/>
  <c r="CV21" i="1"/>
  <c r="CZ21" i="1" s="1"/>
  <c r="CN21" i="1"/>
  <c r="CR21" i="1" s="1"/>
  <c r="BX21" i="1"/>
  <c r="CB21" i="1" s="1"/>
  <c r="AZ21" i="1"/>
  <c r="BD21" i="1" s="1"/>
  <c r="AR21" i="1"/>
  <c r="AV21" i="1" s="1"/>
  <c r="AJ21" i="1"/>
  <c r="AN21" i="1" s="1"/>
  <c r="T21" i="1"/>
  <c r="X21" i="1" s="1"/>
  <c r="L21" i="1"/>
  <c r="P21" i="1" s="1"/>
  <c r="LE20" i="1"/>
  <c r="LI20" i="1" s="1"/>
  <c r="LJ20" i="1" s="1"/>
  <c r="KW20" i="1"/>
  <c r="LA20" i="1" s="1"/>
  <c r="KO20" i="1"/>
  <c r="KS20" i="1" s="1"/>
  <c r="KG20" i="1"/>
  <c r="KK20" i="1" s="1"/>
  <c r="JY20" i="1"/>
  <c r="KC20" i="1" s="1"/>
  <c r="JQ20" i="1"/>
  <c r="JU20" i="1" s="1"/>
  <c r="JE20" i="1"/>
  <c r="JA20" i="1"/>
  <c r="IW20" i="1"/>
  <c r="IS20" i="1"/>
  <c r="IC20" i="1"/>
  <c r="IG20" i="1" s="1"/>
  <c r="HU20" i="1"/>
  <c r="HY20" i="1" s="1"/>
  <c r="HE20" i="1"/>
  <c r="HI20" i="1" s="1"/>
  <c r="HJ20" i="1" s="1"/>
  <c r="GW20" i="1"/>
  <c r="HA20" i="1" s="1"/>
  <c r="GO20" i="1"/>
  <c r="GS20" i="1" s="1"/>
  <c r="GG20" i="1"/>
  <c r="GK20" i="1" s="1"/>
  <c r="FY20" i="1"/>
  <c r="GC20" i="1" s="1"/>
  <c r="FQ20" i="1"/>
  <c r="FU20" i="1" s="1"/>
  <c r="FI20" i="1"/>
  <c r="FM20" i="1" s="1"/>
  <c r="FN20" i="1" s="1"/>
  <c r="FA20" i="1"/>
  <c r="FE20" i="1" s="1"/>
  <c r="ES20" i="1"/>
  <c r="EW20" i="1" s="1"/>
  <c r="EK20" i="1"/>
  <c r="EO20" i="1" s="1"/>
  <c r="EC20" i="1"/>
  <c r="EG20" i="1" s="1"/>
  <c r="DT20" i="1"/>
  <c r="DX20" i="1" s="1"/>
  <c r="DL20" i="1"/>
  <c r="DP20" i="1" s="1"/>
  <c r="DD20" i="1"/>
  <c r="DH20" i="1" s="1"/>
  <c r="CV20" i="1"/>
  <c r="CZ20" i="1" s="1"/>
  <c r="CN20" i="1"/>
  <c r="CR20" i="1" s="1"/>
  <c r="BX20" i="1"/>
  <c r="CB20" i="1" s="1"/>
  <c r="AZ20" i="1"/>
  <c r="BD20" i="1" s="1"/>
  <c r="AR20" i="1"/>
  <c r="AV20" i="1" s="1"/>
  <c r="AJ20" i="1"/>
  <c r="AN20" i="1" s="1"/>
  <c r="T20" i="1"/>
  <c r="X20" i="1" s="1"/>
  <c r="P20" i="1"/>
  <c r="L20" i="1"/>
  <c r="LE19" i="1"/>
  <c r="LI19" i="1" s="1"/>
  <c r="KW19" i="1"/>
  <c r="LA19" i="1" s="1"/>
  <c r="KO19" i="1"/>
  <c r="KS19" i="1" s="1"/>
  <c r="KG19" i="1"/>
  <c r="KK19" i="1" s="1"/>
  <c r="JY19" i="1"/>
  <c r="KC19" i="1" s="1"/>
  <c r="JQ19" i="1"/>
  <c r="JU19" i="1" s="1"/>
  <c r="JA19" i="1"/>
  <c r="JE19" i="1" s="1"/>
  <c r="IS19" i="1"/>
  <c r="IW19" i="1" s="1"/>
  <c r="IC19" i="1"/>
  <c r="IC39" i="1" s="1"/>
  <c r="HU19" i="1"/>
  <c r="HY19" i="1" s="1"/>
  <c r="HE19" i="1"/>
  <c r="HI19" i="1" s="1"/>
  <c r="GW19" i="1"/>
  <c r="HA19" i="1" s="1"/>
  <c r="GO19" i="1"/>
  <c r="GS19" i="1" s="1"/>
  <c r="GG19" i="1"/>
  <c r="GK19" i="1" s="1"/>
  <c r="FY19" i="1"/>
  <c r="GC19" i="1" s="1"/>
  <c r="FQ19" i="1"/>
  <c r="FU19" i="1" s="1"/>
  <c r="FI19" i="1"/>
  <c r="FM19" i="1" s="1"/>
  <c r="FA19" i="1"/>
  <c r="FE19" i="1" s="1"/>
  <c r="ES19" i="1"/>
  <c r="EW19" i="1" s="1"/>
  <c r="EK19" i="1"/>
  <c r="EO19" i="1" s="1"/>
  <c r="EC19" i="1"/>
  <c r="EG19" i="1" s="1"/>
  <c r="DT19" i="1"/>
  <c r="DX19" i="1" s="1"/>
  <c r="DL19" i="1"/>
  <c r="DP19" i="1" s="1"/>
  <c r="DD19" i="1"/>
  <c r="DH19" i="1" s="1"/>
  <c r="CV19" i="1"/>
  <c r="CZ19" i="1" s="1"/>
  <c r="CN19" i="1"/>
  <c r="CR19" i="1" s="1"/>
  <c r="BX19" i="1"/>
  <c r="CB19" i="1" s="1"/>
  <c r="BT19" i="1"/>
  <c r="BP19" i="1"/>
  <c r="AZ19" i="1"/>
  <c r="BD19" i="1" s="1"/>
  <c r="AR19" i="1"/>
  <c r="AV19" i="1" s="1"/>
  <c r="AJ19" i="1"/>
  <c r="AN19" i="1" s="1"/>
  <c r="AF19" i="1"/>
  <c r="AB19" i="1"/>
  <c r="T19" i="1"/>
  <c r="X19" i="1" s="1"/>
  <c r="L19" i="1"/>
  <c r="P19" i="1" s="1"/>
  <c r="LE18" i="1"/>
  <c r="LI18" i="1" s="1"/>
  <c r="LJ18" i="1" s="1"/>
  <c r="KW18" i="1"/>
  <c r="LA18" i="1" s="1"/>
  <c r="KO18" i="1"/>
  <c r="KS18" i="1" s="1"/>
  <c r="KG18" i="1"/>
  <c r="KK18" i="1" s="1"/>
  <c r="JY18" i="1"/>
  <c r="KC18" i="1" s="1"/>
  <c r="JQ18" i="1"/>
  <c r="JU18" i="1" s="1"/>
  <c r="JA18" i="1"/>
  <c r="JE18" i="1" s="1"/>
  <c r="IS18" i="1"/>
  <c r="IW18" i="1" s="1"/>
  <c r="IC18" i="1"/>
  <c r="IG18" i="1" s="1"/>
  <c r="HU18" i="1"/>
  <c r="HY18" i="1" s="1"/>
  <c r="HE18" i="1"/>
  <c r="HI18" i="1" s="1"/>
  <c r="GW18" i="1"/>
  <c r="HA18" i="1" s="1"/>
  <c r="GO18" i="1"/>
  <c r="GS18" i="1" s="1"/>
  <c r="GG18" i="1"/>
  <c r="GK18" i="1" s="1"/>
  <c r="FY18" i="1"/>
  <c r="GC18" i="1" s="1"/>
  <c r="FQ18" i="1"/>
  <c r="FU18" i="1" s="1"/>
  <c r="FI18" i="1"/>
  <c r="FM18" i="1" s="1"/>
  <c r="FN18" i="1" s="1"/>
  <c r="FA18" i="1"/>
  <c r="FE18" i="1" s="1"/>
  <c r="ES18" i="1"/>
  <c r="EW18" i="1" s="1"/>
  <c r="EK18" i="1"/>
  <c r="EO18" i="1" s="1"/>
  <c r="EC18" i="1"/>
  <c r="EG18" i="1" s="1"/>
  <c r="DT18" i="1"/>
  <c r="DX18" i="1" s="1"/>
  <c r="DL18" i="1"/>
  <c r="DP18" i="1" s="1"/>
  <c r="DD18" i="1"/>
  <c r="DH18" i="1" s="1"/>
  <c r="CV18" i="1"/>
  <c r="CZ18" i="1" s="1"/>
  <c r="CN18" i="1"/>
  <c r="CR18" i="1" s="1"/>
  <c r="CF18" i="1"/>
  <c r="CJ18" i="1" s="1"/>
  <c r="BX18" i="1"/>
  <c r="CB18" i="1" s="1"/>
  <c r="BP18" i="1"/>
  <c r="BT18" i="1" s="1"/>
  <c r="AZ18" i="1"/>
  <c r="BD18" i="1" s="1"/>
  <c r="AR18" i="1"/>
  <c r="AV18" i="1" s="1"/>
  <c r="AJ18" i="1"/>
  <c r="AN18" i="1" s="1"/>
  <c r="AB18" i="1"/>
  <c r="AF18" i="1" s="1"/>
  <c r="T18" i="1"/>
  <c r="X18" i="1" s="1"/>
  <c r="L18" i="1"/>
  <c r="P18" i="1" s="1"/>
  <c r="LE17" i="1"/>
  <c r="LI17" i="1" s="1"/>
  <c r="LJ17" i="1" s="1"/>
  <c r="KW17" i="1"/>
  <c r="LA17" i="1" s="1"/>
  <c r="KO17" i="1"/>
  <c r="KS17" i="1" s="1"/>
  <c r="KG17" i="1"/>
  <c r="KK17" i="1" s="1"/>
  <c r="JY17" i="1"/>
  <c r="KC17" i="1" s="1"/>
  <c r="JQ17" i="1"/>
  <c r="JU17" i="1" s="1"/>
  <c r="JI17" i="1"/>
  <c r="JM17" i="1" s="1"/>
  <c r="JA17" i="1"/>
  <c r="JE17" i="1" s="1"/>
  <c r="IS17" i="1"/>
  <c r="IW17" i="1" s="1"/>
  <c r="IC17" i="1"/>
  <c r="IG17" i="1" s="1"/>
  <c r="HU17" i="1"/>
  <c r="HY17" i="1" s="1"/>
  <c r="HE17" i="1"/>
  <c r="HI17" i="1" s="1"/>
  <c r="GW17" i="1"/>
  <c r="HA17" i="1" s="1"/>
  <c r="GO17" i="1"/>
  <c r="GS17" i="1" s="1"/>
  <c r="GG17" i="1"/>
  <c r="GK17" i="1" s="1"/>
  <c r="FY17" i="1"/>
  <c r="GC17" i="1" s="1"/>
  <c r="FU17" i="1"/>
  <c r="FQ17" i="1"/>
  <c r="FI17" i="1"/>
  <c r="FM17" i="1" s="1"/>
  <c r="FA17" i="1"/>
  <c r="FE17" i="1" s="1"/>
  <c r="ES17" i="1"/>
  <c r="EW17" i="1" s="1"/>
  <c r="EX17" i="1" s="1"/>
  <c r="EK17" i="1"/>
  <c r="EO17" i="1" s="1"/>
  <c r="EC17" i="1"/>
  <c r="EG17" i="1" s="1"/>
  <c r="DT17" i="1"/>
  <c r="DX17" i="1" s="1"/>
  <c r="DL17" i="1"/>
  <c r="DP17" i="1" s="1"/>
  <c r="DD17" i="1"/>
  <c r="DH17" i="1" s="1"/>
  <c r="CV17" i="1"/>
  <c r="CZ17" i="1" s="1"/>
  <c r="CN17" i="1"/>
  <c r="CR17" i="1" s="1"/>
  <c r="CF17" i="1"/>
  <c r="CJ17" i="1" s="1"/>
  <c r="BX17" i="1"/>
  <c r="CB17" i="1" s="1"/>
  <c r="BP17" i="1"/>
  <c r="BT17" i="1" s="1"/>
  <c r="AZ17" i="1"/>
  <c r="BD17" i="1" s="1"/>
  <c r="AR17" i="1"/>
  <c r="AV17" i="1" s="1"/>
  <c r="AJ17" i="1"/>
  <c r="AN17" i="1" s="1"/>
  <c r="AB17" i="1"/>
  <c r="AF17" i="1" s="1"/>
  <c r="T17" i="1"/>
  <c r="X17" i="1" s="1"/>
  <c r="L17" i="1"/>
  <c r="P17" i="1" s="1"/>
  <c r="LM16" i="1"/>
  <c r="LQ16" i="1" s="1"/>
  <c r="LE16" i="1"/>
  <c r="LI16" i="1" s="1"/>
  <c r="LA16" i="1"/>
  <c r="KO16" i="1"/>
  <c r="KS16" i="1" s="1"/>
  <c r="KG16" i="1"/>
  <c r="KK16" i="1" s="1"/>
  <c r="JY16" i="1"/>
  <c r="KC16" i="1" s="1"/>
  <c r="JQ16" i="1"/>
  <c r="JU16" i="1" s="1"/>
  <c r="JI16" i="1"/>
  <c r="JM16" i="1" s="1"/>
  <c r="JA16" i="1"/>
  <c r="JE16" i="1" s="1"/>
  <c r="IS16" i="1"/>
  <c r="IW16" i="1" s="1"/>
  <c r="IC16" i="1"/>
  <c r="HU16" i="1"/>
  <c r="HY16" i="1" s="1"/>
  <c r="HE16" i="1"/>
  <c r="HI16" i="1" s="1"/>
  <c r="GW16" i="1"/>
  <c r="HA16" i="1" s="1"/>
  <c r="GS16" i="1"/>
  <c r="GO16" i="1"/>
  <c r="GG16" i="1"/>
  <c r="GK16" i="1" s="1"/>
  <c r="FY16" i="1"/>
  <c r="GC16" i="1" s="1"/>
  <c r="FQ16" i="1"/>
  <c r="FU16" i="1" s="1"/>
  <c r="FI16" i="1"/>
  <c r="FM16" i="1" s="1"/>
  <c r="FA16" i="1"/>
  <c r="FE16" i="1" s="1"/>
  <c r="ES16" i="1"/>
  <c r="EW16" i="1" s="1"/>
  <c r="EX16" i="1" s="1"/>
  <c r="EK16" i="1"/>
  <c r="EO16" i="1" s="1"/>
  <c r="EC16" i="1"/>
  <c r="EG16" i="1" s="1"/>
  <c r="DT16" i="1"/>
  <c r="DX16" i="1" s="1"/>
  <c r="DL16" i="1"/>
  <c r="DP16" i="1" s="1"/>
  <c r="DD16" i="1"/>
  <c r="DH16" i="1" s="1"/>
  <c r="CV16" i="1"/>
  <c r="CZ16" i="1" s="1"/>
  <c r="CN16" i="1"/>
  <c r="CR16" i="1" s="1"/>
  <c r="CF16" i="1"/>
  <c r="CJ16" i="1" s="1"/>
  <c r="BX16" i="1"/>
  <c r="CB16" i="1" s="1"/>
  <c r="BP16" i="1"/>
  <c r="BT16" i="1" s="1"/>
  <c r="BH16" i="1"/>
  <c r="BL16" i="1" s="1"/>
  <c r="AZ16" i="1"/>
  <c r="BD16" i="1" s="1"/>
  <c r="AR16" i="1"/>
  <c r="AV16" i="1" s="1"/>
  <c r="AJ16" i="1"/>
  <c r="AN16" i="1" s="1"/>
  <c r="AB16" i="1"/>
  <c r="AF16" i="1" s="1"/>
  <c r="T16" i="1"/>
  <c r="X16" i="1" s="1"/>
  <c r="L16" i="1"/>
  <c r="P16" i="1" s="1"/>
  <c r="LM15" i="1"/>
  <c r="LQ15" i="1" s="1"/>
  <c r="LE15" i="1"/>
  <c r="LI15" i="1" s="1"/>
  <c r="LJ15" i="1" s="1"/>
  <c r="KW15" i="1"/>
  <c r="LA15" i="1" s="1"/>
  <c r="KO15" i="1"/>
  <c r="KS15" i="1" s="1"/>
  <c r="KG15" i="1"/>
  <c r="KK15" i="1" s="1"/>
  <c r="JY15" i="1"/>
  <c r="KC15" i="1" s="1"/>
  <c r="JQ15" i="1"/>
  <c r="JU15" i="1" s="1"/>
  <c r="JI15" i="1"/>
  <c r="JM15" i="1" s="1"/>
  <c r="JA15" i="1"/>
  <c r="JE15" i="1" s="1"/>
  <c r="IS15" i="1"/>
  <c r="IW15" i="1" s="1"/>
  <c r="IC15" i="1"/>
  <c r="IG15" i="1" s="1"/>
  <c r="HU15" i="1"/>
  <c r="HY15" i="1" s="1"/>
  <c r="HM15" i="1"/>
  <c r="HQ15" i="1" s="1"/>
  <c r="HE15" i="1"/>
  <c r="HI15" i="1" s="1"/>
  <c r="GW15" i="1"/>
  <c r="HA15" i="1" s="1"/>
  <c r="GO15" i="1"/>
  <c r="GG15" i="1"/>
  <c r="GK15" i="1" s="1"/>
  <c r="FY15" i="1"/>
  <c r="GC15" i="1" s="1"/>
  <c r="FQ15" i="1"/>
  <c r="FU15" i="1" s="1"/>
  <c r="FI15" i="1"/>
  <c r="FM15" i="1" s="1"/>
  <c r="FA15" i="1"/>
  <c r="FE15" i="1" s="1"/>
  <c r="ES15" i="1"/>
  <c r="EW15" i="1" s="1"/>
  <c r="EK15" i="1"/>
  <c r="EO15" i="1" s="1"/>
  <c r="EP15" i="1" s="1"/>
  <c r="EC15" i="1"/>
  <c r="EG15" i="1" s="1"/>
  <c r="DT15" i="1"/>
  <c r="DX15" i="1" s="1"/>
  <c r="DL15" i="1"/>
  <c r="DP15" i="1" s="1"/>
  <c r="DD15" i="1"/>
  <c r="DH15" i="1" s="1"/>
  <c r="CV15" i="1"/>
  <c r="CZ15" i="1" s="1"/>
  <c r="CN15" i="1"/>
  <c r="CR15" i="1" s="1"/>
  <c r="CF15" i="1"/>
  <c r="CJ15" i="1" s="1"/>
  <c r="BX15" i="1"/>
  <c r="CB15" i="1" s="1"/>
  <c r="BP15" i="1"/>
  <c r="BT15" i="1" s="1"/>
  <c r="BH15" i="1"/>
  <c r="BL15" i="1" s="1"/>
  <c r="AZ15" i="1"/>
  <c r="BD15" i="1" s="1"/>
  <c r="AR15" i="1"/>
  <c r="AV15" i="1" s="1"/>
  <c r="AJ15" i="1"/>
  <c r="AN15" i="1" s="1"/>
  <c r="AB15" i="1"/>
  <c r="AF15" i="1" s="1"/>
  <c r="T15" i="1"/>
  <c r="X15" i="1" s="1"/>
  <c r="L15" i="1"/>
  <c r="P15" i="1" s="1"/>
  <c r="LM14" i="1"/>
  <c r="LQ14" i="1" s="1"/>
  <c r="LR14" i="1" s="1"/>
  <c r="LE14" i="1"/>
  <c r="LI14" i="1" s="1"/>
  <c r="KW14" i="1"/>
  <c r="LA14" i="1" s="1"/>
  <c r="KO14" i="1"/>
  <c r="KS14" i="1" s="1"/>
  <c r="KG14" i="1"/>
  <c r="KK14" i="1" s="1"/>
  <c r="JY14" i="1"/>
  <c r="KC14" i="1" s="1"/>
  <c r="JQ14" i="1"/>
  <c r="JU14" i="1" s="1"/>
  <c r="JI14" i="1"/>
  <c r="JM14" i="1" s="1"/>
  <c r="JA14" i="1"/>
  <c r="JE14" i="1" s="1"/>
  <c r="IS14" i="1"/>
  <c r="IW14" i="1" s="1"/>
  <c r="IC14" i="1"/>
  <c r="IG14" i="1" s="1"/>
  <c r="HU14" i="1"/>
  <c r="HY14" i="1" s="1"/>
  <c r="HM14" i="1"/>
  <c r="HQ14" i="1" s="1"/>
  <c r="HE14" i="1"/>
  <c r="HI14" i="1" s="1"/>
  <c r="GW14" i="1"/>
  <c r="HA14" i="1" s="1"/>
  <c r="GO14" i="1"/>
  <c r="GS14" i="1" s="1"/>
  <c r="GG14" i="1"/>
  <c r="GK14" i="1" s="1"/>
  <c r="FY14" i="1"/>
  <c r="GC14" i="1" s="1"/>
  <c r="FQ14" i="1"/>
  <c r="FU14" i="1" s="1"/>
  <c r="FI14" i="1"/>
  <c r="FM14" i="1" s="1"/>
  <c r="FN14" i="1" s="1"/>
  <c r="FA14" i="1"/>
  <c r="FE14" i="1" s="1"/>
  <c r="FF14" i="1" s="1"/>
  <c r="EW14" i="1"/>
  <c r="EX14" i="1" s="1"/>
  <c r="EK14" i="1"/>
  <c r="EO14" i="1" s="1"/>
  <c r="EC14" i="1"/>
  <c r="EG14" i="1" s="1"/>
  <c r="DT14" i="1"/>
  <c r="DX14" i="1" s="1"/>
  <c r="DL14" i="1"/>
  <c r="DP14" i="1" s="1"/>
  <c r="DH14" i="1"/>
  <c r="DD14" i="1"/>
  <c r="CV14" i="1"/>
  <c r="CZ14" i="1" s="1"/>
  <c r="CN14" i="1"/>
  <c r="CR14" i="1" s="1"/>
  <c r="CF14" i="1"/>
  <c r="CJ14" i="1" s="1"/>
  <c r="CB14" i="1"/>
  <c r="BX14" i="1"/>
  <c r="BP14" i="1"/>
  <c r="BT14" i="1" s="1"/>
  <c r="BH14" i="1"/>
  <c r="BL14" i="1" s="1"/>
  <c r="AZ14" i="1"/>
  <c r="BD14" i="1" s="1"/>
  <c r="AR14" i="1"/>
  <c r="AV14" i="1" s="1"/>
  <c r="AJ14" i="1"/>
  <c r="AN14" i="1" s="1"/>
  <c r="AB14" i="1"/>
  <c r="AF14" i="1" s="1"/>
  <c r="T14" i="1"/>
  <c r="X14" i="1" s="1"/>
  <c r="L14" i="1"/>
  <c r="P14" i="1" s="1"/>
  <c r="C14" i="1"/>
  <c r="G14" i="1" s="1"/>
  <c r="LM13" i="1"/>
  <c r="LQ13" i="1" s="1"/>
  <c r="LE13" i="1"/>
  <c r="LI13" i="1" s="1"/>
  <c r="LJ13" i="1" s="1"/>
  <c r="KW13" i="1"/>
  <c r="LA13" i="1" s="1"/>
  <c r="KO13" i="1"/>
  <c r="KS13" i="1" s="1"/>
  <c r="KG13" i="1"/>
  <c r="KK13" i="1" s="1"/>
  <c r="JY13" i="1"/>
  <c r="KC13" i="1" s="1"/>
  <c r="JQ13" i="1"/>
  <c r="JU13" i="1" s="1"/>
  <c r="JI13" i="1"/>
  <c r="JM13" i="1" s="1"/>
  <c r="JA13" i="1"/>
  <c r="JE13" i="1" s="1"/>
  <c r="IS13" i="1"/>
  <c r="IW13" i="1" s="1"/>
  <c r="IC13" i="1"/>
  <c r="IG13" i="1" s="1"/>
  <c r="HU13" i="1"/>
  <c r="HY13" i="1" s="1"/>
  <c r="HM13" i="1"/>
  <c r="HQ13" i="1" s="1"/>
  <c r="HE13" i="1"/>
  <c r="HI13" i="1" s="1"/>
  <c r="GW13" i="1"/>
  <c r="HA13" i="1" s="1"/>
  <c r="GO13" i="1"/>
  <c r="GS13" i="1" s="1"/>
  <c r="GG13" i="1"/>
  <c r="GK13" i="1" s="1"/>
  <c r="FY13" i="1"/>
  <c r="FQ13" i="1"/>
  <c r="FU13" i="1" s="1"/>
  <c r="FI13" i="1"/>
  <c r="FM13" i="1" s="1"/>
  <c r="FN13" i="1" s="1"/>
  <c r="FA13" i="1"/>
  <c r="FE13" i="1" s="1"/>
  <c r="ES13" i="1"/>
  <c r="EW13" i="1" s="1"/>
  <c r="EK13" i="1"/>
  <c r="EO13" i="1" s="1"/>
  <c r="EC13" i="1"/>
  <c r="EG13" i="1" s="1"/>
  <c r="DT13" i="1"/>
  <c r="DX13" i="1" s="1"/>
  <c r="DL13" i="1"/>
  <c r="DP13" i="1" s="1"/>
  <c r="DD13" i="1"/>
  <c r="DH13" i="1" s="1"/>
  <c r="CV13" i="1"/>
  <c r="CZ13" i="1" s="1"/>
  <c r="CN13" i="1"/>
  <c r="CR13" i="1" s="1"/>
  <c r="CF13" i="1"/>
  <c r="CJ13" i="1" s="1"/>
  <c r="BX13" i="1"/>
  <c r="CB13" i="1" s="1"/>
  <c r="BP13" i="1"/>
  <c r="BT13" i="1" s="1"/>
  <c r="BH13" i="1"/>
  <c r="BL13" i="1" s="1"/>
  <c r="BD13" i="1"/>
  <c r="AZ13" i="1"/>
  <c r="AV13" i="1"/>
  <c r="AJ13" i="1"/>
  <c r="AN13" i="1" s="1"/>
  <c r="AB13" i="1"/>
  <c r="AF13" i="1" s="1"/>
  <c r="T13" i="1"/>
  <c r="X13" i="1" s="1"/>
  <c r="L13" i="1"/>
  <c r="P13" i="1" s="1"/>
  <c r="C13" i="1"/>
  <c r="G13" i="1" s="1"/>
  <c r="LM12" i="1"/>
  <c r="LQ12" i="1" s="1"/>
  <c r="LR12" i="1" s="1"/>
  <c r="LE12" i="1"/>
  <c r="LI12" i="1" s="1"/>
  <c r="LJ12" i="1" s="1"/>
  <c r="KW12" i="1"/>
  <c r="LA12" i="1" s="1"/>
  <c r="KO12" i="1"/>
  <c r="KS12" i="1" s="1"/>
  <c r="KG12" i="1"/>
  <c r="KK12" i="1" s="1"/>
  <c r="JY12" i="1"/>
  <c r="KC12" i="1" s="1"/>
  <c r="JQ12" i="1"/>
  <c r="JU12" i="1" s="1"/>
  <c r="JI12" i="1"/>
  <c r="JM12" i="1" s="1"/>
  <c r="JA12" i="1"/>
  <c r="JE12" i="1" s="1"/>
  <c r="IS12" i="1"/>
  <c r="IW12" i="1" s="1"/>
  <c r="IC12" i="1"/>
  <c r="IG12" i="1" s="1"/>
  <c r="HU12" i="1"/>
  <c r="HY12" i="1" s="1"/>
  <c r="HM12" i="1"/>
  <c r="HQ12" i="1" s="1"/>
  <c r="HI12" i="1"/>
  <c r="HE12" i="1"/>
  <c r="GW12" i="1"/>
  <c r="HA12" i="1" s="1"/>
  <c r="GO12" i="1"/>
  <c r="GS12" i="1" s="1"/>
  <c r="GG12" i="1"/>
  <c r="GK12" i="1" s="1"/>
  <c r="FY12" i="1"/>
  <c r="GC12" i="1" s="1"/>
  <c r="FQ12" i="1"/>
  <c r="FU12" i="1" s="1"/>
  <c r="FI12" i="1"/>
  <c r="FM12" i="1" s="1"/>
  <c r="FA12" i="1"/>
  <c r="FA38" i="1" s="1"/>
  <c r="ES12" i="1"/>
  <c r="EW12" i="1" s="1"/>
  <c r="EK12" i="1"/>
  <c r="EO12" i="1" s="1"/>
  <c r="EC12" i="1"/>
  <c r="EG12" i="1" s="1"/>
  <c r="DL12" i="1"/>
  <c r="DP12" i="1" s="1"/>
  <c r="DD12" i="1"/>
  <c r="DH12" i="1" s="1"/>
  <c r="CV12" i="1"/>
  <c r="CZ12" i="1" s="1"/>
  <c r="CN12" i="1"/>
  <c r="CR12" i="1" s="1"/>
  <c r="CF12" i="1"/>
  <c r="CJ12" i="1" s="1"/>
  <c r="BX12" i="1"/>
  <c r="CB12" i="1" s="1"/>
  <c r="BT12" i="1"/>
  <c r="BH12" i="1"/>
  <c r="BL12" i="1" s="1"/>
  <c r="AZ12" i="1"/>
  <c r="BD12" i="1" s="1"/>
  <c r="AR12" i="1"/>
  <c r="AV12" i="1" s="1"/>
  <c r="AJ12" i="1"/>
  <c r="AN12" i="1" s="1"/>
  <c r="AB12" i="1"/>
  <c r="AF12" i="1" s="1"/>
  <c r="T12" i="1"/>
  <c r="X12" i="1" s="1"/>
  <c r="P12" i="1"/>
  <c r="L12" i="1"/>
  <c r="C12" i="1"/>
  <c r="G12" i="1" s="1"/>
  <c r="LM11" i="1"/>
  <c r="LQ11" i="1" s="1"/>
  <c r="LE11" i="1"/>
  <c r="LI11" i="1" s="1"/>
  <c r="KW11" i="1"/>
  <c r="LA11" i="1" s="1"/>
  <c r="KO11" i="1"/>
  <c r="KS11" i="1" s="1"/>
  <c r="KG11" i="1"/>
  <c r="KK11" i="1" s="1"/>
  <c r="JY11" i="1"/>
  <c r="KC11" i="1" s="1"/>
  <c r="JQ11" i="1"/>
  <c r="JU11" i="1" s="1"/>
  <c r="JI11" i="1"/>
  <c r="JM11" i="1" s="1"/>
  <c r="JA11" i="1"/>
  <c r="JE11" i="1" s="1"/>
  <c r="IS11" i="1"/>
  <c r="IW11" i="1" s="1"/>
  <c r="IC11" i="1"/>
  <c r="IG11" i="1" s="1"/>
  <c r="HU11" i="1"/>
  <c r="HY11" i="1" s="1"/>
  <c r="HM11" i="1"/>
  <c r="HQ11" i="1" s="1"/>
  <c r="HE11" i="1"/>
  <c r="HI11" i="1" s="1"/>
  <c r="GW11" i="1"/>
  <c r="HA11" i="1" s="1"/>
  <c r="GO11" i="1"/>
  <c r="GS11" i="1" s="1"/>
  <c r="GG11" i="1"/>
  <c r="GK11" i="1" s="1"/>
  <c r="FY11" i="1"/>
  <c r="GC11" i="1" s="1"/>
  <c r="FQ11" i="1"/>
  <c r="FU11" i="1" s="1"/>
  <c r="FI11" i="1"/>
  <c r="FM11" i="1" s="1"/>
  <c r="FA11" i="1"/>
  <c r="FE11" i="1" s="1"/>
  <c r="ES11" i="1"/>
  <c r="EK11" i="1"/>
  <c r="EO11" i="1" s="1"/>
  <c r="EC11" i="1"/>
  <c r="EG11" i="1" s="1"/>
  <c r="DT11" i="1"/>
  <c r="DX11" i="1" s="1"/>
  <c r="DL11" i="1"/>
  <c r="DP11" i="1" s="1"/>
  <c r="DD11" i="1"/>
  <c r="DH11" i="1" s="1"/>
  <c r="CV11" i="1"/>
  <c r="CZ11" i="1" s="1"/>
  <c r="CN11" i="1"/>
  <c r="CR11" i="1" s="1"/>
  <c r="CJ11" i="1"/>
  <c r="BX11" i="1"/>
  <c r="CB11" i="1" s="1"/>
  <c r="BT11" i="1"/>
  <c r="BH11" i="1"/>
  <c r="BL11" i="1" s="1"/>
  <c r="AZ11" i="1"/>
  <c r="BD11" i="1" s="1"/>
  <c r="AR11" i="1"/>
  <c r="AV11" i="1" s="1"/>
  <c r="AJ11" i="1"/>
  <c r="AN11" i="1" s="1"/>
  <c r="AB11" i="1"/>
  <c r="AF11" i="1" s="1"/>
  <c r="T11" i="1"/>
  <c r="X11" i="1" s="1"/>
  <c r="L11" i="1"/>
  <c r="P11" i="1" s="1"/>
  <c r="C11" i="1"/>
  <c r="G11" i="1" s="1"/>
  <c r="LM10" i="1"/>
  <c r="LE10" i="1"/>
  <c r="LI10" i="1" s="1"/>
  <c r="LJ10" i="1" s="1"/>
  <c r="KW10" i="1"/>
  <c r="LA10" i="1" s="1"/>
  <c r="KO10" i="1"/>
  <c r="KS10" i="1" s="1"/>
  <c r="KG10" i="1"/>
  <c r="KK10" i="1" s="1"/>
  <c r="JY10" i="1"/>
  <c r="KC10" i="1" s="1"/>
  <c r="JQ10" i="1"/>
  <c r="JU10" i="1" s="1"/>
  <c r="JI10" i="1"/>
  <c r="JM10" i="1" s="1"/>
  <c r="JA10" i="1"/>
  <c r="JE10" i="1" s="1"/>
  <c r="IS10" i="1"/>
  <c r="IW10" i="1" s="1"/>
  <c r="IC10" i="1"/>
  <c r="HY10" i="1"/>
  <c r="HU10" i="1"/>
  <c r="HM10" i="1"/>
  <c r="HQ10" i="1" s="1"/>
  <c r="HE10" i="1"/>
  <c r="HI10" i="1" s="1"/>
  <c r="HJ10" i="1" s="1"/>
  <c r="GW10" i="1"/>
  <c r="HA10" i="1" s="1"/>
  <c r="GO10" i="1"/>
  <c r="GS10" i="1" s="1"/>
  <c r="GG10" i="1"/>
  <c r="GK10" i="1" s="1"/>
  <c r="FY10" i="1"/>
  <c r="GC10" i="1" s="1"/>
  <c r="FQ10" i="1"/>
  <c r="FU10" i="1" s="1"/>
  <c r="FM10" i="1"/>
  <c r="FN10" i="1" s="1"/>
  <c r="FI10" i="1"/>
  <c r="FA10" i="1"/>
  <c r="FE10" i="1" s="1"/>
  <c r="ES10" i="1"/>
  <c r="EW10" i="1" s="1"/>
  <c r="EK10" i="1"/>
  <c r="EO10" i="1" s="1"/>
  <c r="EC10" i="1"/>
  <c r="EG10" i="1" s="1"/>
  <c r="DT10" i="1"/>
  <c r="DX10" i="1" s="1"/>
  <c r="DL10" i="1"/>
  <c r="DP10" i="1" s="1"/>
  <c r="DD10" i="1"/>
  <c r="DH10" i="1" s="1"/>
  <c r="CV10" i="1"/>
  <c r="CZ10" i="1" s="1"/>
  <c r="CN10" i="1"/>
  <c r="CR10" i="1" s="1"/>
  <c r="CJ10" i="1"/>
  <c r="BX10" i="1"/>
  <c r="CB10" i="1" s="1"/>
  <c r="BP10" i="1"/>
  <c r="BT10" i="1" s="1"/>
  <c r="BH10" i="1"/>
  <c r="BL10" i="1" s="1"/>
  <c r="AZ10" i="1"/>
  <c r="BD10" i="1" s="1"/>
  <c r="AR10" i="1"/>
  <c r="AV10" i="1" s="1"/>
  <c r="AJ10" i="1"/>
  <c r="AN10" i="1" s="1"/>
  <c r="AB10" i="1"/>
  <c r="AF10" i="1" s="1"/>
  <c r="T10" i="1"/>
  <c r="X10" i="1" s="1"/>
  <c r="L10" i="1"/>
  <c r="P10" i="1" s="1"/>
  <c r="C10" i="1"/>
  <c r="G10" i="1" s="1"/>
  <c r="LM9" i="1"/>
  <c r="LQ9" i="1" s="1"/>
  <c r="LE9" i="1"/>
  <c r="LE36" i="1" s="1"/>
  <c r="KW9" i="1"/>
  <c r="LA9" i="1" s="1"/>
  <c r="KO9" i="1"/>
  <c r="KS9" i="1" s="1"/>
  <c r="KG9" i="1"/>
  <c r="KK9" i="1" s="1"/>
  <c r="JY9" i="1"/>
  <c r="JY39" i="1" s="1"/>
  <c r="JQ9" i="1"/>
  <c r="JU9" i="1" s="1"/>
  <c r="JI9" i="1"/>
  <c r="JM9" i="1" s="1"/>
  <c r="JA9" i="1"/>
  <c r="JE9" i="1" s="1"/>
  <c r="IS9" i="1"/>
  <c r="IW9" i="1" s="1"/>
  <c r="IK9" i="1"/>
  <c r="IO9" i="1" s="1"/>
  <c r="IP9" i="1" s="1"/>
  <c r="IC9" i="1"/>
  <c r="IG9" i="1" s="1"/>
  <c r="HU9" i="1"/>
  <c r="HY9" i="1" s="1"/>
  <c r="HM9" i="1"/>
  <c r="HQ9" i="1" s="1"/>
  <c r="HI9" i="1"/>
  <c r="HE9" i="1"/>
  <c r="GW9" i="1"/>
  <c r="GO9" i="1"/>
  <c r="GS9" i="1" s="1"/>
  <c r="GG9" i="1"/>
  <c r="GK9" i="1" s="1"/>
  <c r="FY9" i="1"/>
  <c r="GC9" i="1" s="1"/>
  <c r="FQ9" i="1"/>
  <c r="FU9" i="1" s="1"/>
  <c r="FI9" i="1"/>
  <c r="FM9" i="1" s="1"/>
  <c r="FA9" i="1"/>
  <c r="FE9" i="1" s="1"/>
  <c r="EW9" i="1"/>
  <c r="EX9" i="1" s="1"/>
  <c r="EK9" i="1"/>
  <c r="EO9" i="1" s="1"/>
  <c r="EC9" i="1"/>
  <c r="EG9" i="1" s="1"/>
  <c r="DT9" i="1"/>
  <c r="DX9" i="1" s="1"/>
  <c r="DL9" i="1"/>
  <c r="DP9" i="1" s="1"/>
  <c r="DD9" i="1"/>
  <c r="DH9" i="1" s="1"/>
  <c r="CV9" i="1"/>
  <c r="CZ9" i="1" s="1"/>
  <c r="CN9" i="1"/>
  <c r="CR9" i="1" s="1"/>
  <c r="CJ9" i="1"/>
  <c r="BX9" i="1"/>
  <c r="CB9" i="1" s="1"/>
  <c r="BP9" i="1"/>
  <c r="BT9" i="1" s="1"/>
  <c r="BH9" i="1"/>
  <c r="BL9" i="1" s="1"/>
  <c r="AZ9" i="1"/>
  <c r="BD9" i="1" s="1"/>
  <c r="AR9" i="1"/>
  <c r="AV9" i="1" s="1"/>
  <c r="AJ9" i="1"/>
  <c r="AN9" i="1" s="1"/>
  <c r="AB9" i="1"/>
  <c r="AF9" i="1" s="1"/>
  <c r="T9" i="1"/>
  <c r="X9" i="1" s="1"/>
  <c r="L9" i="1"/>
  <c r="P9" i="1" s="1"/>
  <c r="C9" i="1"/>
  <c r="G9" i="1" s="1"/>
  <c r="LM8" i="1"/>
  <c r="LQ8" i="1" s="1"/>
  <c r="LE8" i="1"/>
  <c r="LI8" i="1" s="1"/>
  <c r="LJ8" i="1" s="1"/>
  <c r="KW8" i="1"/>
  <c r="LA8" i="1" s="1"/>
  <c r="KO8" i="1"/>
  <c r="KS8" i="1" s="1"/>
  <c r="KG8" i="1"/>
  <c r="KG38" i="1" s="1"/>
  <c r="JY8" i="1"/>
  <c r="KC8" i="1" s="1"/>
  <c r="JQ8" i="1"/>
  <c r="JU8" i="1" s="1"/>
  <c r="JI8" i="1"/>
  <c r="JM8" i="1" s="1"/>
  <c r="JA8" i="1"/>
  <c r="JE8" i="1" s="1"/>
  <c r="IS8" i="1"/>
  <c r="IW8" i="1" s="1"/>
  <c r="IO8" i="1"/>
  <c r="IK8" i="1"/>
  <c r="IC8" i="1"/>
  <c r="IG8" i="1" s="1"/>
  <c r="IH8" i="1" s="1"/>
  <c r="HU8" i="1"/>
  <c r="HY8" i="1" s="1"/>
  <c r="HM8" i="1"/>
  <c r="HQ8" i="1" s="1"/>
  <c r="HE8" i="1"/>
  <c r="HI8" i="1" s="1"/>
  <c r="GW8" i="1"/>
  <c r="HA8" i="1" s="1"/>
  <c r="GO8" i="1"/>
  <c r="GS8" i="1" s="1"/>
  <c r="GG8" i="1"/>
  <c r="GK8" i="1" s="1"/>
  <c r="FY8" i="1"/>
  <c r="FQ8" i="1"/>
  <c r="FU8" i="1" s="1"/>
  <c r="FI8" i="1"/>
  <c r="FM8" i="1" s="1"/>
  <c r="FA8" i="1"/>
  <c r="FE8" i="1" s="1"/>
  <c r="ES8" i="1"/>
  <c r="EW8" i="1" s="1"/>
  <c r="EK8" i="1"/>
  <c r="EO8" i="1" s="1"/>
  <c r="EC8" i="1"/>
  <c r="EG8" i="1" s="1"/>
  <c r="DT8" i="1"/>
  <c r="DX8" i="1" s="1"/>
  <c r="DL8" i="1"/>
  <c r="DP8" i="1" s="1"/>
  <c r="DD8" i="1"/>
  <c r="DH8" i="1" s="1"/>
  <c r="CV8" i="1"/>
  <c r="CZ8" i="1" s="1"/>
  <c r="CN8" i="1"/>
  <c r="CR8" i="1" s="1"/>
  <c r="CF8" i="1"/>
  <c r="CJ8" i="1" s="1"/>
  <c r="BX8" i="1"/>
  <c r="CB8" i="1" s="1"/>
  <c r="BP8" i="1"/>
  <c r="BT8" i="1" s="1"/>
  <c r="BH8" i="1"/>
  <c r="BL8" i="1" s="1"/>
  <c r="AZ8" i="1"/>
  <c r="BD8" i="1" s="1"/>
  <c r="AR8" i="1"/>
  <c r="AV8" i="1" s="1"/>
  <c r="AJ8" i="1"/>
  <c r="AN8" i="1" s="1"/>
  <c r="AB8" i="1"/>
  <c r="AF8" i="1" s="1"/>
  <c r="T8" i="1"/>
  <c r="X8" i="1" s="1"/>
  <c r="L8" i="1"/>
  <c r="P8" i="1" s="1"/>
  <c r="C8" i="1"/>
  <c r="G8" i="1" s="1"/>
  <c r="LM7" i="1"/>
  <c r="LQ7" i="1" s="1"/>
  <c r="LE7" i="1"/>
  <c r="LI7" i="1" s="1"/>
  <c r="LJ7" i="1" s="1"/>
  <c r="KW7" i="1"/>
  <c r="LA7" i="1" s="1"/>
  <c r="KO7" i="1"/>
  <c r="KS7" i="1" s="1"/>
  <c r="KG7" i="1"/>
  <c r="KK7" i="1" s="1"/>
  <c r="JY7" i="1"/>
  <c r="JQ7" i="1"/>
  <c r="JU7" i="1" s="1"/>
  <c r="JI7" i="1"/>
  <c r="JM7" i="1" s="1"/>
  <c r="JA7" i="1"/>
  <c r="JE7" i="1" s="1"/>
  <c r="IS7" i="1"/>
  <c r="IK7" i="1"/>
  <c r="IO7" i="1" s="1"/>
  <c r="IC7" i="1"/>
  <c r="IG7" i="1" s="1"/>
  <c r="HU7" i="1"/>
  <c r="HY7" i="1" s="1"/>
  <c r="HM7" i="1"/>
  <c r="HQ7" i="1" s="1"/>
  <c r="HE7" i="1"/>
  <c r="HI7" i="1" s="1"/>
  <c r="HJ7" i="1" s="1"/>
  <c r="GW7" i="1"/>
  <c r="HA7" i="1" s="1"/>
  <c r="GO7" i="1"/>
  <c r="GS7" i="1" s="1"/>
  <c r="FQ7" i="1"/>
  <c r="FU7" i="1" s="1"/>
  <c r="FI7" i="1"/>
  <c r="FI36" i="1" s="1"/>
  <c r="FA7" i="1"/>
  <c r="FE7" i="1" s="1"/>
  <c r="EW7" i="1"/>
  <c r="EX7" i="1" s="1"/>
  <c r="EK7" i="1"/>
  <c r="EO7" i="1" s="1"/>
  <c r="EC7" i="1"/>
  <c r="EG7" i="1" s="1"/>
  <c r="DT7" i="1"/>
  <c r="DX7" i="1" s="1"/>
  <c r="DL7" i="1"/>
  <c r="DP7" i="1" s="1"/>
  <c r="DD7" i="1"/>
  <c r="DH7" i="1" s="1"/>
  <c r="CV7" i="1"/>
  <c r="CZ7" i="1" s="1"/>
  <c r="CN7" i="1"/>
  <c r="CR7" i="1" s="1"/>
  <c r="CF7" i="1"/>
  <c r="CJ7" i="1" s="1"/>
  <c r="BX7" i="1"/>
  <c r="CB7" i="1" s="1"/>
  <c r="BP7" i="1"/>
  <c r="BT7" i="1" s="1"/>
  <c r="BH7" i="1"/>
  <c r="BL7" i="1" s="1"/>
  <c r="AZ7" i="1"/>
  <c r="BD7" i="1" s="1"/>
  <c r="AR7" i="1"/>
  <c r="AV7" i="1" s="1"/>
  <c r="AJ7" i="1"/>
  <c r="AN7" i="1" s="1"/>
  <c r="AB7" i="1"/>
  <c r="AF7" i="1" s="1"/>
  <c r="T7" i="1"/>
  <c r="X7" i="1" s="1"/>
  <c r="L7" i="1"/>
  <c r="P7" i="1" s="1"/>
  <c r="C7" i="1"/>
  <c r="G7" i="1" s="1"/>
  <c r="LM6" i="1"/>
  <c r="LQ6" i="1" s="1"/>
  <c r="LE6" i="1"/>
  <c r="LI6" i="1" s="1"/>
  <c r="KW6" i="1"/>
  <c r="LA6" i="1" s="1"/>
  <c r="KO6" i="1"/>
  <c r="KG6" i="1"/>
  <c r="KK6" i="1" s="1"/>
  <c r="JY6" i="1"/>
  <c r="KC6" i="1" s="1"/>
  <c r="JQ6" i="1"/>
  <c r="JU6" i="1" s="1"/>
  <c r="JI6" i="1"/>
  <c r="JM6" i="1" s="1"/>
  <c r="JA6" i="1"/>
  <c r="IS6" i="1"/>
  <c r="IK6" i="1"/>
  <c r="IO6" i="1" s="1"/>
  <c r="IC6" i="1"/>
  <c r="IG6" i="1" s="1"/>
  <c r="HU6" i="1"/>
  <c r="HY6" i="1" s="1"/>
  <c r="HM6" i="1"/>
  <c r="HQ6" i="1" s="1"/>
  <c r="HE6" i="1"/>
  <c r="HI6" i="1" s="1"/>
  <c r="GW6" i="1"/>
  <c r="HA6" i="1" s="1"/>
  <c r="GO6" i="1"/>
  <c r="GS6" i="1" s="1"/>
  <c r="GG6" i="1"/>
  <c r="GK6" i="1" s="1"/>
  <c r="FY6" i="1"/>
  <c r="GC6" i="1" s="1"/>
  <c r="FQ6" i="1"/>
  <c r="FU6" i="1" s="1"/>
  <c r="FI6" i="1"/>
  <c r="FM6" i="1" s="1"/>
  <c r="FA6" i="1"/>
  <c r="FE6" i="1" s="1"/>
  <c r="ES6" i="1"/>
  <c r="EW6" i="1" s="1"/>
  <c r="EX6" i="1" s="1"/>
  <c r="EK6" i="1"/>
  <c r="EO6" i="1" s="1"/>
  <c r="EP6" i="1" s="1"/>
  <c r="EC6" i="1"/>
  <c r="EG6" i="1" s="1"/>
  <c r="DT6" i="1"/>
  <c r="DX6" i="1" s="1"/>
  <c r="DL6" i="1"/>
  <c r="DP6" i="1" s="1"/>
  <c r="DD6" i="1"/>
  <c r="DH6" i="1" s="1"/>
  <c r="CV6" i="1"/>
  <c r="CZ6" i="1" s="1"/>
  <c r="CN6" i="1"/>
  <c r="CR6" i="1" s="1"/>
  <c r="CJ6" i="1"/>
  <c r="BX6" i="1"/>
  <c r="CB6" i="1" s="1"/>
  <c r="BP6" i="1"/>
  <c r="BT6" i="1" s="1"/>
  <c r="BH6" i="1"/>
  <c r="BL6" i="1" s="1"/>
  <c r="AZ6" i="1"/>
  <c r="BD6" i="1" s="1"/>
  <c r="AR6" i="1"/>
  <c r="AV6" i="1" s="1"/>
  <c r="AJ6" i="1"/>
  <c r="AN6" i="1" s="1"/>
  <c r="AB6" i="1"/>
  <c r="AF6" i="1" s="1"/>
  <c r="T6" i="1"/>
  <c r="X6" i="1" s="1"/>
  <c r="L6" i="1"/>
  <c r="P6" i="1" s="1"/>
  <c r="C6" i="1"/>
  <c r="G6" i="1" s="1"/>
  <c r="LM5" i="1"/>
  <c r="LQ5" i="1" s="1"/>
  <c r="LE5" i="1"/>
  <c r="LI5" i="1" s="1"/>
  <c r="LJ5" i="1" s="1"/>
  <c r="KW5" i="1"/>
  <c r="LA5" i="1" s="1"/>
  <c r="KO5" i="1"/>
  <c r="KS5" i="1" s="1"/>
  <c r="KG5" i="1"/>
  <c r="JY5" i="1"/>
  <c r="KC5" i="1" s="1"/>
  <c r="JQ5" i="1"/>
  <c r="JU5" i="1" s="1"/>
  <c r="JI5" i="1"/>
  <c r="JM5" i="1" s="1"/>
  <c r="JA5" i="1"/>
  <c r="JE5" i="1" s="1"/>
  <c r="IS5" i="1"/>
  <c r="IW5" i="1" s="1"/>
  <c r="IK5" i="1"/>
  <c r="IC5" i="1"/>
  <c r="IG5" i="1" s="1"/>
  <c r="HU5" i="1"/>
  <c r="HY5" i="1" s="1"/>
  <c r="HM5" i="1"/>
  <c r="HQ5" i="1" s="1"/>
  <c r="HE5" i="1"/>
  <c r="HI5" i="1" s="1"/>
  <c r="GW5" i="1"/>
  <c r="HA5" i="1" s="1"/>
  <c r="GS5" i="1"/>
  <c r="GO5" i="1"/>
  <c r="GG5" i="1"/>
  <c r="FY5" i="1"/>
  <c r="GC5" i="1" s="1"/>
  <c r="FQ5" i="1"/>
  <c r="FU5" i="1" s="1"/>
  <c r="FI5" i="1"/>
  <c r="FM5" i="1" s="1"/>
  <c r="FA5" i="1"/>
  <c r="EW5" i="1"/>
  <c r="EX5" i="1" s="1"/>
  <c r="EK5" i="1"/>
  <c r="EC5" i="1"/>
  <c r="EG5" i="1" s="1"/>
  <c r="DT5" i="1"/>
  <c r="DX5" i="1" s="1"/>
  <c r="DL5" i="1"/>
  <c r="DP5" i="1" s="1"/>
  <c r="DD5" i="1"/>
  <c r="DH5" i="1" s="1"/>
  <c r="CV5" i="1"/>
  <c r="CZ5" i="1" s="1"/>
  <c r="CN5" i="1"/>
  <c r="CR5" i="1" s="1"/>
  <c r="CF5" i="1"/>
  <c r="CJ5" i="1" s="1"/>
  <c r="BX5" i="1"/>
  <c r="CB5" i="1" s="1"/>
  <c r="BP5" i="1"/>
  <c r="BT5" i="1" s="1"/>
  <c r="BH5" i="1"/>
  <c r="BL5" i="1" s="1"/>
  <c r="AZ5" i="1"/>
  <c r="BD5" i="1" s="1"/>
  <c r="AR5" i="1"/>
  <c r="AV5" i="1" s="1"/>
  <c r="AJ5" i="1"/>
  <c r="AN5" i="1" s="1"/>
  <c r="AB5" i="1"/>
  <c r="AF5" i="1" s="1"/>
  <c r="T5" i="1"/>
  <c r="X5" i="1" s="1"/>
  <c r="L5" i="1"/>
  <c r="P5" i="1" s="1"/>
  <c r="C5" i="1"/>
  <c r="G5" i="1" s="1"/>
  <c r="LM4" i="1"/>
  <c r="LE4" i="1"/>
  <c r="KW4" i="1"/>
  <c r="LA4" i="1" s="1"/>
  <c r="KO4" i="1"/>
  <c r="KS4" i="1" s="1"/>
  <c r="KG4" i="1"/>
  <c r="JY4" i="1"/>
  <c r="JQ4" i="1"/>
  <c r="JU4" i="1" s="1"/>
  <c r="JI4" i="1"/>
  <c r="JM4" i="1" s="1"/>
  <c r="JA4" i="1"/>
  <c r="IS4" i="1"/>
  <c r="IK4" i="1"/>
  <c r="IO4" i="1" s="1"/>
  <c r="IC4" i="1"/>
  <c r="IG4" i="1" s="1"/>
  <c r="HU4" i="1"/>
  <c r="HM4" i="1"/>
  <c r="HE4" i="1"/>
  <c r="GW4" i="1"/>
  <c r="HA4" i="1" s="1"/>
  <c r="GO4" i="1"/>
  <c r="GS4" i="1" s="1"/>
  <c r="GG4" i="1"/>
  <c r="GK4" i="1" s="1"/>
  <c r="FY4" i="1"/>
  <c r="GC4" i="1" s="1"/>
  <c r="FQ4" i="1"/>
  <c r="FU4" i="1" s="1"/>
  <c r="FI4" i="1"/>
  <c r="FM4" i="1" s="1"/>
  <c r="FA4" i="1"/>
  <c r="EW4" i="1"/>
  <c r="EX4" i="1" s="1"/>
  <c r="EK4" i="1"/>
  <c r="EC4" i="1"/>
  <c r="EG4" i="1" s="1"/>
  <c r="DT4" i="1"/>
  <c r="DL4" i="1"/>
  <c r="DP4" i="1" s="1"/>
  <c r="DD4" i="1"/>
  <c r="DH4" i="1" s="1"/>
  <c r="CV4" i="1"/>
  <c r="CZ4" i="1" s="1"/>
  <c r="CN4" i="1"/>
  <c r="CR4" i="1" s="1"/>
  <c r="CF4" i="1"/>
  <c r="CJ4" i="1" s="1"/>
  <c r="BX4" i="1"/>
  <c r="CB4" i="1" s="1"/>
  <c r="BP4" i="1"/>
  <c r="BT4" i="1" s="1"/>
  <c r="BH4" i="1"/>
  <c r="AZ4" i="1"/>
  <c r="BD4" i="1" s="1"/>
  <c r="AR4" i="1"/>
  <c r="AV4" i="1" s="1"/>
  <c r="AJ4" i="1"/>
  <c r="AN4" i="1" s="1"/>
  <c r="AB4" i="1"/>
  <c r="T4" i="1"/>
  <c r="X4" i="1" s="1"/>
  <c r="L4" i="1"/>
  <c r="P4" i="1" s="1"/>
  <c r="C4" i="1"/>
  <c r="G4" i="1" s="1"/>
  <c r="IC38" i="1" l="1"/>
  <c r="IG16" i="1"/>
  <c r="IH16" i="1" s="1"/>
  <c r="IG38" i="1" s="1"/>
  <c r="FE12" i="1"/>
  <c r="KK8" i="1"/>
  <c r="KK38" i="1" s="1"/>
  <c r="GO38" i="1"/>
  <c r="ES36" i="1"/>
  <c r="GS15" i="1"/>
  <c r="KG37" i="1"/>
  <c r="IS40" i="1"/>
  <c r="EK37" i="1"/>
  <c r="KK5" i="1"/>
  <c r="KK37" i="1" s="1"/>
  <c r="JA36" i="1"/>
  <c r="JY37" i="1"/>
  <c r="IS37" i="1"/>
  <c r="FY39" i="1"/>
  <c r="FQ37" i="1"/>
  <c r="GW36" i="1"/>
  <c r="FE36" i="1"/>
  <c r="FY36" i="1"/>
  <c r="HA9" i="1"/>
  <c r="HA36" i="1" s="1"/>
  <c r="AN47" i="2"/>
  <c r="AN50" i="2"/>
  <c r="AN53" i="2"/>
  <c r="AN56" i="2"/>
  <c r="LA29" i="1"/>
  <c r="JU37" i="1"/>
  <c r="JU29" i="1"/>
  <c r="JU36" i="1"/>
  <c r="GC37" i="1"/>
  <c r="HE37" i="1"/>
  <c r="HE29" i="1"/>
  <c r="HI29" i="1" s="1"/>
  <c r="FA37" i="1"/>
  <c r="FA29" i="1"/>
  <c r="FE29" i="1" s="1"/>
  <c r="EK38" i="1"/>
  <c r="EK29" i="1"/>
  <c r="GS36" i="1"/>
  <c r="FU36" i="1"/>
  <c r="HA37" i="1"/>
  <c r="IC29" i="1"/>
  <c r="IG29" i="1" s="1"/>
  <c r="IC37" i="1"/>
  <c r="JI29" i="1"/>
  <c r="JI37" i="1"/>
  <c r="KO29" i="1"/>
  <c r="KO37" i="1"/>
  <c r="EC37" i="1"/>
  <c r="GC8" i="1"/>
  <c r="GC36" i="1" s="1"/>
  <c r="EW11" i="1"/>
  <c r="EW36" i="1" s="1"/>
  <c r="DT29" i="1"/>
  <c r="DX29" i="1" s="1"/>
  <c r="DX4" i="1"/>
  <c r="LI9" i="1"/>
  <c r="LI36" i="1" s="1"/>
  <c r="C29" i="1"/>
  <c r="G29" i="1" s="1"/>
  <c r="AJ29" i="1"/>
  <c r="BP29" i="1"/>
  <c r="CV29" i="1"/>
  <c r="EC29" i="1"/>
  <c r="EG29" i="1" s="1"/>
  <c r="FE4" i="1"/>
  <c r="GG36" i="1"/>
  <c r="GG29" i="1"/>
  <c r="GK29" i="1" s="1"/>
  <c r="EO5" i="1"/>
  <c r="EO37" i="1" s="1"/>
  <c r="IW6" i="1"/>
  <c r="IW40" i="1" s="1"/>
  <c r="FM7" i="1"/>
  <c r="FM36" i="1" s="1"/>
  <c r="IC36" i="1"/>
  <c r="GC13" i="1"/>
  <c r="GC39" i="1" s="1"/>
  <c r="BH29" i="1"/>
  <c r="BL29" i="1" s="1"/>
  <c r="JM37" i="1"/>
  <c r="JM29" i="1"/>
  <c r="HI4" i="1"/>
  <c r="GK36" i="1"/>
  <c r="IS36" i="1"/>
  <c r="IS29" i="1"/>
  <c r="JY36" i="1"/>
  <c r="JY29" i="1"/>
  <c r="IK40" i="1"/>
  <c r="KC9" i="1"/>
  <c r="KC39" i="1" s="1"/>
  <c r="FM37" i="1"/>
  <c r="IG10" i="1"/>
  <c r="IG36" i="1" s="1"/>
  <c r="LM37" i="1"/>
  <c r="LQ10" i="1"/>
  <c r="LQ37" i="1" s="1"/>
  <c r="AB29" i="1"/>
  <c r="AF29" i="1" s="1"/>
  <c r="EW37" i="1"/>
  <c r="KS37" i="1"/>
  <c r="BL4" i="1"/>
  <c r="IK29" i="1"/>
  <c r="IO29" i="1" s="1"/>
  <c r="JQ37" i="1"/>
  <c r="HM29" i="1"/>
  <c r="HQ29" i="1" s="1"/>
  <c r="LE37" i="1"/>
  <c r="LE29" i="1"/>
  <c r="L29" i="1"/>
  <c r="P29" i="1" s="1"/>
  <c r="AR29" i="1"/>
  <c r="AV29" i="1" s="1"/>
  <c r="BX29" i="1"/>
  <c r="CB29" i="1" s="1"/>
  <c r="DD29" i="1"/>
  <c r="DH29" i="1" s="1"/>
  <c r="EH4" i="1"/>
  <c r="FI39" i="1"/>
  <c r="FI29" i="1"/>
  <c r="FM29" i="1" s="1"/>
  <c r="GO29" i="1"/>
  <c r="GS29" i="1" s="1"/>
  <c r="GO36" i="1"/>
  <c r="HQ4" i="1"/>
  <c r="IW4" i="1"/>
  <c r="KC4" i="1"/>
  <c r="LI4" i="1"/>
  <c r="IO5" i="1"/>
  <c r="IO40" i="1" s="1"/>
  <c r="JE6" i="1"/>
  <c r="JE36" i="1" s="1"/>
  <c r="IW7" i="1"/>
  <c r="IW37" i="1" s="1"/>
  <c r="KC7" i="1"/>
  <c r="KC37" i="1" s="1"/>
  <c r="JU39" i="1"/>
  <c r="GC38" i="1"/>
  <c r="FY29" i="1"/>
  <c r="FY37" i="1"/>
  <c r="AF4" i="1"/>
  <c r="JQ29" i="1"/>
  <c r="JQ36" i="1"/>
  <c r="FM39" i="1"/>
  <c r="JA29" i="1"/>
  <c r="JA37" i="1"/>
  <c r="LM36" i="1"/>
  <c r="LM29" i="1"/>
  <c r="GG37" i="1"/>
  <c r="KO36" i="1"/>
  <c r="GS38" i="1"/>
  <c r="CN29" i="1"/>
  <c r="CR29" i="1" s="1"/>
  <c r="IG37" i="1"/>
  <c r="EG37" i="1"/>
  <c r="KW29" i="1"/>
  <c r="HU29" i="1"/>
  <c r="HY29" i="1" s="1"/>
  <c r="KG29" i="1"/>
  <c r="KG36" i="1"/>
  <c r="FA39" i="1"/>
  <c r="T29" i="1"/>
  <c r="X29" i="1" s="1"/>
  <c r="AZ29" i="1"/>
  <c r="BD29" i="1" s="1"/>
  <c r="CF29" i="1"/>
  <c r="CJ29" i="1" s="1"/>
  <c r="DL29" i="1"/>
  <c r="DP29" i="1" s="1"/>
  <c r="EO4" i="1"/>
  <c r="FQ29" i="1"/>
  <c r="FU29" i="1" s="1"/>
  <c r="FQ36" i="1"/>
  <c r="GW37" i="1"/>
  <c r="GW29" i="1"/>
  <c r="HA29" i="1" s="1"/>
  <c r="HY4" i="1"/>
  <c r="JE4" i="1"/>
  <c r="KK4" i="1"/>
  <c r="LQ4" i="1"/>
  <c r="FE5" i="1"/>
  <c r="FE39" i="1" s="1"/>
  <c r="GK5" i="1"/>
  <c r="GK37" i="1" s="1"/>
  <c r="ES29" i="1"/>
  <c r="EW29" i="1" s="1"/>
  <c r="ES37" i="1"/>
  <c r="KS6" i="1"/>
  <c r="KS36" i="1" s="1"/>
  <c r="FA36" i="1"/>
  <c r="FE38" i="1"/>
  <c r="AN29" i="1"/>
  <c r="CZ29" i="1"/>
  <c r="GC29" i="1"/>
  <c r="JQ39" i="1"/>
  <c r="FI37" i="1"/>
  <c r="FY38" i="1"/>
  <c r="IG19" i="1"/>
  <c r="IG39" i="1" s="1"/>
  <c r="FU37" i="1"/>
  <c r="EO29" i="1"/>
  <c r="BT29" i="1"/>
  <c r="LQ36" i="1" l="1"/>
  <c r="LQ29" i="1"/>
  <c r="KS29" i="1"/>
  <c r="HJ4" i="1"/>
  <c r="HI37" i="1" s="1"/>
  <c r="JE29" i="1"/>
  <c r="JE37" i="1"/>
  <c r="EO38" i="1"/>
  <c r="KK29" i="1"/>
  <c r="KK36" i="1"/>
  <c r="KC29" i="1"/>
  <c r="KC36" i="1"/>
  <c r="IW29" i="1"/>
  <c r="IW36" i="1"/>
  <c r="LI37" i="1"/>
  <c r="LI29" i="1"/>
  <c r="FF4" i="1"/>
  <c r="FE37" i="1" s="1"/>
</calcChain>
</file>

<file path=xl/sharedStrings.xml><?xml version="1.0" encoding="utf-8"?>
<sst xmlns="http://schemas.openxmlformats.org/spreadsheetml/2006/main" count="1854" uniqueCount="257">
  <si>
    <t>T1 DIABETIC</t>
  </si>
  <si>
    <t>PT0267-0039 P1</t>
  </si>
  <si>
    <t>PT0267-0040 P8</t>
  </si>
  <si>
    <t>PT0267-0041 P1</t>
  </si>
  <si>
    <t>PT0267-0041 P8</t>
  </si>
  <si>
    <t>PT0267-0042 P1</t>
  </si>
  <si>
    <t>PT0267-0042 P8</t>
  </si>
  <si>
    <t>PT0267-0046 P1</t>
  </si>
  <si>
    <t>PT0267-0047 P8</t>
  </si>
  <si>
    <t>PT0267-0050 P1</t>
  </si>
  <si>
    <t>PT0267-0050 P8</t>
  </si>
  <si>
    <t>PT0267-0051 P1</t>
  </si>
  <si>
    <t>PT0267-0051 P8</t>
  </si>
  <si>
    <t>PT0267-0053 P1</t>
  </si>
  <si>
    <t>PT0267-0053 P8</t>
  </si>
  <si>
    <t>PT0267-0054 P8</t>
  </si>
  <si>
    <t>PT0267-0055 P1</t>
  </si>
  <si>
    <t>PT0267-0056 P1</t>
  </si>
  <si>
    <t>PT0267-0056 P8</t>
  </si>
  <si>
    <t>PT0267-0058 P8</t>
  </si>
  <si>
    <t>PT0267-0059 P1</t>
  </si>
  <si>
    <t>PT0267-0060 P1</t>
  </si>
  <si>
    <t>PT0267-0060 P8</t>
  </si>
  <si>
    <t>PT0267-0062 P1</t>
  </si>
  <si>
    <t>PT0267-0063 P8</t>
  </si>
  <si>
    <t>Cell number</t>
  </si>
  <si>
    <t>Nucleus</t>
  </si>
  <si>
    <t>Mitochondria</t>
  </si>
  <si>
    <t>ER dilation</t>
  </si>
  <si>
    <t>Cytoplasmic vacuolisation</t>
  </si>
  <si>
    <t>Total score</t>
  </si>
  <si>
    <t>n/a</t>
  </si>
  <si>
    <t>n/a*</t>
  </si>
  <si>
    <t>9*</t>
  </si>
  <si>
    <t>n/a**</t>
  </si>
  <si>
    <t>Intermediate cells 15, 19, 20</t>
  </si>
  <si>
    <t>Intermediate cells 2,3</t>
  </si>
  <si>
    <t>Intermediate cells 1,4</t>
  </si>
  <si>
    <t>*n/a - suspected immune cell</t>
  </si>
  <si>
    <t>10 intermediate cell</t>
  </si>
  <si>
    <t>5 intermediate cell</t>
  </si>
  <si>
    <t>Intermediate cell present in 10</t>
  </si>
  <si>
    <t>Intermediate cell in 20</t>
  </si>
  <si>
    <t>Intermediate cells present in 19 and 21</t>
  </si>
  <si>
    <t>Possible intermediate cells visible in images of 6 and 8</t>
  </si>
  <si>
    <t>Possible intermediate cell visible in image of 2</t>
  </si>
  <si>
    <t>PT0267-0001 P8</t>
  </si>
  <si>
    <t>PT0267-0002 P1</t>
  </si>
  <si>
    <t>PT0267-0002 P8</t>
  </si>
  <si>
    <t>Key:</t>
  </si>
  <si>
    <t>Alpha cell</t>
  </si>
  <si>
    <t>Beta cell</t>
  </si>
  <si>
    <t>Delta cell</t>
  </si>
  <si>
    <t>Heterogeneous cell</t>
  </si>
  <si>
    <t>Other/unknown cell</t>
  </si>
  <si>
    <t>PT0267-0006 P8</t>
  </si>
  <si>
    <t>PT0267-0016 P8</t>
  </si>
  <si>
    <t>PT0267-0017 P8</t>
  </si>
  <si>
    <t>PT0267-0018 P1</t>
  </si>
  <si>
    <t>PT0267-0020 P1</t>
  </si>
  <si>
    <t>PT0267-0021 P1</t>
  </si>
  <si>
    <t>PT0267-0021 P8</t>
  </si>
  <si>
    <t>PT0267-0022 P1</t>
  </si>
  <si>
    <t>PT0267-0022 P8</t>
  </si>
  <si>
    <t>PT0267-0026 P8</t>
  </si>
  <si>
    <t>PT0267-0027 P1</t>
  </si>
  <si>
    <t>PT0267-0027 P8</t>
  </si>
  <si>
    <t>PT0267-0031 P8</t>
  </si>
  <si>
    <t>PT0267-0035 P8</t>
  </si>
  <si>
    <t>**immune cell - omit from analysis</t>
  </si>
  <si>
    <t>Intermediate cells 17, 19</t>
  </si>
  <si>
    <t>Vesicle depletion</t>
  </si>
  <si>
    <t>Endocrine nucleus</t>
  </si>
  <si>
    <t>Endocrine mitochondria</t>
  </si>
  <si>
    <t>Endocrine vesicle depletion</t>
  </si>
  <si>
    <t>Endocrine ER</t>
  </si>
  <si>
    <t>Endocrine Vacuolisation</t>
  </si>
  <si>
    <t>Endocrine total</t>
  </si>
  <si>
    <t>Exocrine nucleus</t>
  </si>
  <si>
    <t>Exocrine mitochondria</t>
  </si>
  <si>
    <t>Exocrine ER</t>
  </si>
  <si>
    <t>Exocrine Vacuolisation</t>
  </si>
  <si>
    <t>Exocrine total</t>
  </si>
  <si>
    <t>Endocrine total (minus vesicle depletion)</t>
  </si>
  <si>
    <t>CIT</t>
  </si>
  <si>
    <t>Normalised score</t>
  </si>
  <si>
    <t>Donor type</t>
  </si>
  <si>
    <t>History of diabetes</t>
  </si>
  <si>
    <t>Age (years)</t>
  </si>
  <si>
    <t>Gender</t>
  </si>
  <si>
    <t>BMI (kg/m²)</t>
  </si>
  <si>
    <t>CIT (hours)</t>
  </si>
  <si>
    <t>WIT (minutes)</t>
  </si>
  <si>
    <t>Cause of death</t>
  </si>
  <si>
    <t>Out of hospital cardiac arrest</t>
  </si>
  <si>
    <t>ITU stay (days)</t>
  </si>
  <si>
    <t>Number of cells scored</t>
  </si>
  <si>
    <t>Regions scored</t>
  </si>
  <si>
    <t>PT0267-0001</t>
  </si>
  <si>
    <t>DBD1</t>
  </si>
  <si>
    <t>DBD</t>
  </si>
  <si>
    <t>No</t>
  </si>
  <si>
    <t>F</t>
  </si>
  <si>
    <t>ICH</t>
  </si>
  <si>
    <t>Yes</t>
  </si>
  <si>
    <t>Tail</t>
  </si>
  <si>
    <t>PT0267-0002</t>
  </si>
  <si>
    <t>DBD2</t>
  </si>
  <si>
    <t>Head, Tail</t>
  </si>
  <si>
    <t>PT0267-0016</t>
  </si>
  <si>
    <t>DBD3</t>
  </si>
  <si>
    <t>PT0267-0017</t>
  </si>
  <si>
    <t>DBD4</t>
  </si>
  <si>
    <t>PT0267-0018</t>
  </si>
  <si>
    <t>DBD5</t>
  </si>
  <si>
    <t>Hypoxic brain damage</t>
  </si>
  <si>
    <t>Head</t>
  </si>
  <si>
    <t>PT0267-0021</t>
  </si>
  <si>
    <t>DBD6</t>
  </si>
  <si>
    <t>PT0267-0022</t>
  </si>
  <si>
    <t>DBD7</t>
  </si>
  <si>
    <t>M</t>
  </si>
  <si>
    <t>PT0267-0035</t>
  </si>
  <si>
    <t>DBD8</t>
  </si>
  <si>
    <t>Unknown</t>
  </si>
  <si>
    <t>PT0267-0040</t>
  </si>
  <si>
    <t>DBD9</t>
  </si>
  <si>
    <t>PT0267-0042</t>
  </si>
  <si>
    <t>DBD10</t>
  </si>
  <si>
    <t>PT0267-0054</t>
  </si>
  <si>
    <t>DBD11</t>
  </si>
  <si>
    <t>PT0267-0055</t>
  </si>
  <si>
    <t>DBD12</t>
  </si>
  <si>
    <t>PT0267-0058</t>
  </si>
  <si>
    <t>DBD13</t>
  </si>
  <si>
    <t>PT0267-0062</t>
  </si>
  <si>
    <t>DBD14</t>
  </si>
  <si>
    <t>PT0267-0063</t>
  </si>
  <si>
    <t>DBD15</t>
  </si>
  <si>
    <t>PT0267-0027</t>
  </si>
  <si>
    <t>DBD16</t>
  </si>
  <si>
    <t>T1D</t>
  </si>
  <si>
    <t>Trauma</t>
  </si>
  <si>
    <t>PT0267-0031</t>
  </si>
  <si>
    <t>DBD17</t>
  </si>
  <si>
    <t>PT0267-0047</t>
  </si>
  <si>
    <t>DBD18</t>
  </si>
  <si>
    <t>PT0267-0020</t>
  </si>
  <si>
    <t>DBD19</t>
  </si>
  <si>
    <t>T2D</t>
  </si>
  <si>
    <t>PT0267-0026</t>
  </si>
  <si>
    <t>DBD20</t>
  </si>
  <si>
    <t>PT0267-0051</t>
  </si>
  <si>
    <t>DBD21</t>
  </si>
  <si>
    <t>PT0267-0006</t>
  </si>
  <si>
    <t>DCD1</t>
  </si>
  <si>
    <t>DCD</t>
  </si>
  <si>
    <t>PT0267-0039</t>
  </si>
  <si>
    <t>DCD2</t>
  </si>
  <si>
    <t>PT0267-0041</t>
  </si>
  <si>
    <t>DCD3</t>
  </si>
  <si>
    <t>PT0267-0046</t>
  </si>
  <si>
    <t>DCD4</t>
  </si>
  <si>
    <t>PT0267-0050</t>
  </si>
  <si>
    <t>DCD5</t>
  </si>
  <si>
    <t>PT0267-0053</t>
  </si>
  <si>
    <t>DCD6</t>
  </si>
  <si>
    <t>Respiratory failure</t>
  </si>
  <si>
    <t>PT0267-0056</t>
  </si>
  <si>
    <t>DCD7</t>
  </si>
  <si>
    <t>PT0267-0059</t>
  </si>
  <si>
    <t>DCD8</t>
  </si>
  <si>
    <t>PT0267-0060</t>
  </si>
  <si>
    <t>DCD9</t>
  </si>
  <si>
    <t>DBD non diabetic</t>
  </si>
  <si>
    <t>Mean</t>
  </si>
  <si>
    <t>Range</t>
  </si>
  <si>
    <t>18-73</t>
  </si>
  <si>
    <t>21.7-41.5</t>
  </si>
  <si>
    <t>3.55-35.85</t>
  </si>
  <si>
    <t>1-6</t>
  </si>
  <si>
    <t>Summary</t>
  </si>
  <si>
    <t>13 (87%) female</t>
  </si>
  <si>
    <t>10 (67%) ICH</t>
  </si>
  <si>
    <t>6 (40%) OHCA</t>
  </si>
  <si>
    <t>DBD T1D</t>
  </si>
  <si>
    <t>33-60</t>
  </si>
  <si>
    <t>21.6-26.7</t>
  </si>
  <si>
    <t>4.65-7.68</t>
  </si>
  <si>
    <t>2-3</t>
  </si>
  <si>
    <t>2 (67%) female</t>
  </si>
  <si>
    <t>2 (67%) ICH</t>
  </si>
  <si>
    <t>0 (0%) OHCA</t>
  </si>
  <si>
    <t>DBD T2D</t>
  </si>
  <si>
    <t>63-71</t>
  </si>
  <si>
    <t>28.6-34.9</t>
  </si>
  <si>
    <t>5.03-6.98</t>
  </si>
  <si>
    <t>2-8</t>
  </si>
  <si>
    <t>3 (100%) ICH</t>
  </si>
  <si>
    <t>DBD all</t>
  </si>
  <si>
    <t>21.6-41.5</t>
  </si>
  <si>
    <t>1-8</t>
  </si>
  <si>
    <t>15 (71%) non diabetic</t>
  </si>
  <si>
    <t>17 (81%) female</t>
  </si>
  <si>
    <t>15 (71%) ICH</t>
  </si>
  <si>
    <t>6 (29%) OHCA</t>
  </si>
  <si>
    <t>DCD all</t>
  </si>
  <si>
    <t>27-62</t>
  </si>
  <si>
    <t>18.8-39</t>
  </si>
  <si>
    <t>3.97-26.48</t>
  </si>
  <si>
    <t>9-103</t>
  </si>
  <si>
    <t>1-31</t>
  </si>
  <si>
    <t>9 (100%) non diabetic</t>
  </si>
  <si>
    <t>2 (22%) female</t>
  </si>
  <si>
    <t>4 (44%) ICH</t>
  </si>
  <si>
    <t>3 (33%) OHCA</t>
  </si>
  <si>
    <t>LDIS266 tissue</t>
  </si>
  <si>
    <t>LDIS266 D0</t>
  </si>
  <si>
    <t>LDIS266 D1</t>
  </si>
  <si>
    <t>LDIS268 tissue</t>
  </si>
  <si>
    <t>LDIS268 D0</t>
  </si>
  <si>
    <t>LDIS268 D1</t>
  </si>
  <si>
    <t>LDIS244 tissue</t>
  </si>
  <si>
    <t>LDIS244 D0</t>
  </si>
  <si>
    <t>LDIS244 D1</t>
  </si>
  <si>
    <t>5*</t>
  </si>
  <si>
    <t>135146 P1</t>
  </si>
  <si>
    <t>137210 P1</t>
  </si>
  <si>
    <t>135146 P8</t>
  </si>
  <si>
    <t>PT0267-0039 P8</t>
  </si>
  <si>
    <t>PT0267-0040 P1</t>
  </si>
  <si>
    <t>PT0267-0043 P1</t>
  </si>
  <si>
    <t>PT0267-0043 P8</t>
  </si>
  <si>
    <t>PT0267-0045 P1</t>
  </si>
  <si>
    <t>PT0267-0045 P8</t>
  </si>
  <si>
    <t>133967 P1</t>
  </si>
  <si>
    <t>133967 P8</t>
  </si>
  <si>
    <t>137210 P8</t>
  </si>
  <si>
    <t>PT0267-0046 P8</t>
  </si>
  <si>
    <t>PT0267-0047 P1</t>
  </si>
  <si>
    <t>PT0267-0054 P1</t>
  </si>
  <si>
    <t>PT0267-0055 P8</t>
  </si>
  <si>
    <t>PT0267-0058 P1</t>
  </si>
  <si>
    <t>PT0267-0059 P8</t>
  </si>
  <si>
    <t>PT0267-0062 P8</t>
  </si>
  <si>
    <t>PT0267-0063 P1</t>
  </si>
  <si>
    <t>Endoplasmic reticulum</t>
  </si>
  <si>
    <t>Median mitochondria</t>
  </si>
  <si>
    <t>New total score</t>
  </si>
  <si>
    <t>SD</t>
  </si>
  <si>
    <t>CoV</t>
  </si>
  <si>
    <t>PT0267-0016 P1</t>
  </si>
  <si>
    <t>PT0267-0017 P1</t>
  </si>
  <si>
    <t>PT0267-0031 P1</t>
  </si>
  <si>
    <t>PT0267-0020 P8</t>
  </si>
  <si>
    <t>PT0267-0026 P1</t>
  </si>
  <si>
    <t>PT0267-0035 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</si>
</sst>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C66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Fill="1" applyBorder="1"/>
    <xf numFmtId="0" fontId="0" fillId="6" borderId="2" xfId="0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5" xfId="0" applyBorder="1"/>
    <xf numFmtId="0" fontId="0" fillId="6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Border="1" applyAlignment="1">
      <alignment horizontal="right" vertic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Fill="1" applyBorder="1"/>
    <xf numFmtId="0" fontId="0" fillId="0" borderId="1" xfId="0" applyFill="1" applyBorder="1"/>
    <xf numFmtId="0" fontId="0" fillId="0" borderId="8" xfId="0" applyFill="1" applyBorder="1"/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5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9" xfId="0" applyFill="1" applyBorder="1"/>
    <xf numFmtId="0" fontId="0" fillId="7" borderId="7" xfId="0" applyFill="1" applyBorder="1" applyAlignment="1">
      <alignment horizontal="center"/>
    </xf>
    <xf numFmtId="0" fontId="0" fillId="7" borderId="1" xfId="0" applyFill="1" applyBorder="1"/>
    <xf numFmtId="0" fontId="0" fillId="7" borderId="8" xfId="0" applyFill="1" applyBorder="1"/>
    <xf numFmtId="0" fontId="0" fillId="0" borderId="1" xfId="0" applyFill="1" applyBorder="1" applyAlignment="1">
      <alignment horizontal="right"/>
    </xf>
    <xf numFmtId="0" fontId="3" fillId="5" borderId="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0" borderId="10" xfId="0" applyFill="1" applyBorder="1"/>
    <xf numFmtId="0" fontId="0" fillId="0" borderId="10" xfId="0" applyBorder="1"/>
    <xf numFmtId="0" fontId="0" fillId="7" borderId="6" xfId="0" applyFill="1" applyBorder="1" applyAlignment="1">
      <alignment horizontal="center"/>
    </xf>
    <xf numFmtId="0" fontId="0" fillId="7" borderId="7" xfId="0" applyFill="1" applyBorder="1"/>
    <xf numFmtId="0" fontId="0" fillId="0" borderId="11" xfId="0" applyFill="1" applyBorder="1"/>
    <xf numFmtId="0" fontId="0" fillId="0" borderId="12" xfId="0" applyBorder="1"/>
    <xf numFmtId="0" fontId="0" fillId="0" borderId="12" xfId="0" applyFill="1" applyBorder="1"/>
    <xf numFmtId="0" fontId="3" fillId="5" borderId="6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7" borderId="9" xfId="0" applyFill="1" applyBorder="1"/>
    <xf numFmtId="0" fontId="3" fillId="3" borderId="7" xfId="0" applyFont="1" applyFill="1" applyBorder="1" applyAlignment="1">
      <alignment horizontal="center"/>
    </xf>
    <xf numFmtId="0" fontId="0" fillId="0" borderId="13" xfId="0" applyFill="1" applyBorder="1"/>
    <xf numFmtId="0" fontId="0" fillId="7" borderId="14" xfId="0" applyFill="1" applyBorder="1" applyAlignment="1">
      <alignment horizontal="center"/>
    </xf>
    <xf numFmtId="0" fontId="0" fillId="7" borderId="11" xfId="0" applyFill="1" applyBorder="1"/>
    <xf numFmtId="0" fontId="0" fillId="7" borderId="12" xfId="0" applyFill="1" applyBorder="1"/>
    <xf numFmtId="0" fontId="0" fillId="5" borderId="14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5" xfId="0" applyFill="1" applyBorder="1"/>
    <xf numFmtId="0" fontId="0" fillId="3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5" xfId="0" applyBorder="1"/>
    <xf numFmtId="0" fontId="0" fillId="5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0" xfId="0" applyBorder="1"/>
    <xf numFmtId="0" fontId="0" fillId="0" borderId="16" xfId="0" applyFill="1" applyBorder="1"/>
    <xf numFmtId="0" fontId="0" fillId="0" borderId="0" xfId="0" applyFill="1"/>
    <xf numFmtId="0" fontId="0" fillId="0" borderId="17" xfId="0" applyFill="1" applyBorder="1"/>
    <xf numFmtId="0" fontId="0" fillId="9" borderId="18" xfId="0" applyFill="1" applyBorder="1"/>
    <xf numFmtId="0" fontId="0" fillId="9" borderId="19" xfId="0" applyFill="1" applyBorder="1"/>
    <xf numFmtId="0" fontId="0" fillId="9" borderId="20" xfId="0" applyFill="1" applyBorder="1"/>
    <xf numFmtId="2" fontId="0" fillId="0" borderId="18" xfId="0" applyNumberFormat="1" applyBorder="1"/>
    <xf numFmtId="2" fontId="0" fillId="0" borderId="19" xfId="0" applyNumberFormat="1" applyBorder="1"/>
    <xf numFmtId="2" fontId="0" fillId="0" borderId="20" xfId="0" applyNumberFormat="1" applyBorder="1"/>
    <xf numFmtId="0" fontId="0" fillId="7" borderId="18" xfId="0" applyFill="1" applyBorder="1"/>
    <xf numFmtId="0" fontId="0" fillId="7" borderId="19" xfId="0" applyFill="1" applyBorder="1"/>
    <xf numFmtId="0" fontId="0" fillId="7" borderId="20" xfId="0" applyFill="1" applyBorder="1"/>
    <xf numFmtId="2" fontId="0" fillId="0" borderId="13" xfId="0" applyNumberFormat="1" applyBorder="1"/>
    <xf numFmtId="2" fontId="0" fillId="0" borderId="0" xfId="0" applyNumberFormat="1" applyBorder="1"/>
    <xf numFmtId="2" fontId="0" fillId="0" borderId="21" xfId="0" applyNumberFormat="1" applyBorder="1"/>
    <xf numFmtId="2" fontId="0" fillId="9" borderId="13" xfId="0" applyNumberFormat="1" applyFill="1" applyBorder="1"/>
    <xf numFmtId="2" fontId="0" fillId="9" borderId="0" xfId="0" applyNumberFormat="1" applyFill="1" applyBorder="1"/>
    <xf numFmtId="2" fontId="0" fillId="9" borderId="21" xfId="0" applyNumberFormat="1" applyFill="1" applyBorder="1"/>
    <xf numFmtId="2" fontId="0" fillId="7" borderId="0" xfId="0" applyNumberFormat="1" applyFill="1" applyBorder="1"/>
    <xf numFmtId="2" fontId="0" fillId="0" borderId="0" xfId="0" applyNumberFormat="1" applyFill="1" applyBorder="1"/>
    <xf numFmtId="2" fontId="0" fillId="7" borderId="13" xfId="0" applyNumberFormat="1" applyFill="1" applyBorder="1"/>
    <xf numFmtId="2" fontId="0" fillId="7" borderId="21" xfId="0" applyNumberFormat="1" applyFill="1" applyBorder="1"/>
    <xf numFmtId="0" fontId="0" fillId="0" borderId="21" xfId="0" applyFill="1" applyBorder="1"/>
    <xf numFmtId="2" fontId="0" fillId="0" borderId="13" xfId="0" applyNumberFormat="1" applyFill="1" applyBorder="1"/>
    <xf numFmtId="0" fontId="0" fillId="7" borderId="13" xfId="0" applyFill="1" applyBorder="1"/>
    <xf numFmtId="0" fontId="0" fillId="7" borderId="0" xfId="0" applyFill="1" applyBorder="1"/>
    <xf numFmtId="0" fontId="0" fillId="7" borderId="21" xfId="0" applyFill="1" applyBorder="1"/>
    <xf numFmtId="2" fontId="0" fillId="9" borderId="22" xfId="0" applyNumberFormat="1" applyFill="1" applyBorder="1"/>
    <xf numFmtId="2" fontId="0" fillId="9" borderId="23" xfId="0" applyNumberFormat="1" applyFill="1" applyBorder="1"/>
    <xf numFmtId="2" fontId="0" fillId="9" borderId="24" xfId="0" applyNumberFormat="1" applyFill="1" applyBorder="1"/>
    <xf numFmtId="2" fontId="0" fillId="0" borderId="24" xfId="0" applyNumberFormat="1" applyBorder="1"/>
    <xf numFmtId="2" fontId="0" fillId="7" borderId="22" xfId="0" applyNumberFormat="1" applyFill="1" applyBorder="1"/>
    <xf numFmtId="2" fontId="0" fillId="7" borderId="23" xfId="0" applyNumberFormat="1" applyFill="1" applyBorder="1"/>
    <xf numFmtId="2" fontId="0" fillId="7" borderId="24" xfId="0" applyNumberFormat="1" applyFill="1" applyBorder="1"/>
    <xf numFmtId="2" fontId="0" fillId="0" borderId="22" xfId="0" applyNumberFormat="1" applyBorder="1"/>
    <xf numFmtId="2" fontId="0" fillId="0" borderId="23" xfId="0" applyNumberFormat="1" applyBorder="1"/>
    <xf numFmtId="0" fontId="0" fillId="7" borderId="22" xfId="0" applyFill="1" applyBorder="1"/>
    <xf numFmtId="0" fontId="0" fillId="7" borderId="23" xfId="0" applyFill="1" applyBorder="1"/>
    <xf numFmtId="0" fontId="0" fillId="7" borderId="24" xfId="0" applyFill="1" applyBorder="1"/>
    <xf numFmtId="0" fontId="0" fillId="0" borderId="25" xfId="0" applyBorder="1"/>
    <xf numFmtId="0" fontId="0" fillId="0" borderId="28" xfId="0" applyBorder="1"/>
    <xf numFmtId="0" fontId="0" fillId="0" borderId="29" xfId="0" applyBorder="1"/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4" fillId="10" borderId="32" xfId="0" applyFont="1" applyFill="1" applyBorder="1" applyAlignment="1">
      <alignment wrapText="1"/>
    </xf>
    <xf numFmtId="0" fontId="4" fillId="10" borderId="33" xfId="0" applyFont="1" applyFill="1" applyBorder="1" applyAlignment="1">
      <alignment wrapText="1"/>
    </xf>
    <xf numFmtId="0" fontId="4" fillId="10" borderId="34" xfId="0" applyFont="1" applyFill="1" applyBorder="1" applyAlignment="1">
      <alignment wrapText="1"/>
    </xf>
    <xf numFmtId="0" fontId="4" fillId="10" borderId="0" xfId="0" applyFont="1" applyFill="1" applyBorder="1" applyAlignment="1">
      <alignment wrapText="1"/>
    </xf>
    <xf numFmtId="0" fontId="4" fillId="10" borderId="1" xfId="0" applyFont="1" applyFill="1" applyBorder="1" applyAlignment="1">
      <alignment wrapText="1"/>
    </xf>
    <xf numFmtId="0" fontId="1" fillId="3" borderId="35" xfId="0" applyFont="1" applyFill="1" applyBorder="1"/>
    <xf numFmtId="2" fontId="0" fillId="0" borderId="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0" xfId="0" applyNumberFormat="1"/>
    <xf numFmtId="2" fontId="0" fillId="0" borderId="1" xfId="0" applyNumberFormat="1" applyBorder="1"/>
    <xf numFmtId="0" fontId="1" fillId="8" borderId="35" xfId="0" applyFont="1" applyFill="1" applyBorder="1"/>
    <xf numFmtId="2" fontId="0" fillId="0" borderId="7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1" fillId="3" borderId="35" xfId="0" applyFont="1" applyFill="1" applyBorder="1" applyAlignment="1">
      <alignment wrapText="1"/>
    </xf>
    <xf numFmtId="0" fontId="1" fillId="0" borderId="35" xfId="0" applyFont="1" applyFill="1" applyBorder="1"/>
    <xf numFmtId="0" fontId="0" fillId="0" borderId="7" xfId="0" applyBorder="1"/>
    <xf numFmtId="0" fontId="1" fillId="0" borderId="35" xfId="0" applyFont="1" applyBorder="1" applyAlignment="1">
      <alignment horizontal="left"/>
    </xf>
    <xf numFmtId="0" fontId="0" fillId="0" borderId="7" xfId="0" applyBorder="1" applyAlignment="1"/>
    <xf numFmtId="0" fontId="0" fillId="0" borderId="1" xfId="0" applyBorder="1" applyAlignment="1"/>
    <xf numFmtId="0" fontId="0" fillId="0" borderId="8" xfId="0" applyBorder="1" applyAlignment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1" fillId="4" borderId="35" xfId="0" applyFont="1" applyFill="1" applyBorder="1" applyAlignment="1">
      <alignment horizontal="left"/>
    </xf>
    <xf numFmtId="0" fontId="0" fillId="0" borderId="36" xfId="0" applyBorder="1" applyAlignment="1"/>
    <xf numFmtId="2" fontId="0" fillId="0" borderId="9" xfId="0" applyNumberFormat="1" applyBorder="1" applyAlignment="1"/>
    <xf numFmtId="0" fontId="0" fillId="0" borderId="9" xfId="0" applyBorder="1" applyAlignment="1"/>
    <xf numFmtId="2" fontId="0" fillId="0" borderId="37" xfId="0" applyNumberFormat="1" applyBorder="1" applyAlignment="1"/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right"/>
    </xf>
    <xf numFmtId="0" fontId="1" fillId="0" borderId="35" xfId="0" applyFont="1" applyBorder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left" vertical="center" wrapText="1" readingOrder="1"/>
    </xf>
    <xf numFmtId="0" fontId="4" fillId="10" borderId="35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 readingOrder="1"/>
    </xf>
    <xf numFmtId="0" fontId="6" fillId="0" borderId="1" xfId="0" applyFont="1" applyFill="1" applyBorder="1" applyAlignment="1">
      <alignment horizontal="left" wrapText="1" readingOrder="1"/>
    </xf>
    <xf numFmtId="0" fontId="4" fillId="10" borderId="35" xfId="0" applyFont="1" applyFill="1" applyBorder="1"/>
    <xf numFmtId="0" fontId="4" fillId="0" borderId="0" xfId="0" applyFont="1" applyFill="1" applyBorder="1"/>
    <xf numFmtId="0" fontId="4" fillId="10" borderId="0" xfId="0" applyFont="1" applyFill="1" applyBorder="1"/>
    <xf numFmtId="0" fontId="6" fillId="0" borderId="0" xfId="0" applyFont="1" applyFill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164" fontId="0" fillId="9" borderId="1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9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33" xfId="0" applyBorder="1"/>
    <xf numFmtId="0" fontId="0" fillId="0" borderId="34" xfId="0" applyBorder="1"/>
    <xf numFmtId="0" fontId="0" fillId="0" borderId="20" xfId="0" applyBorder="1"/>
    <xf numFmtId="0" fontId="0" fillId="0" borderId="38" xfId="0" applyBorder="1"/>
    <xf numFmtId="0" fontId="0" fillId="0" borderId="21" xfId="0" applyBorder="1"/>
    <xf numFmtId="0" fontId="0" fillId="0" borderId="9" xfId="0" applyBorder="1"/>
    <xf numFmtId="0" fontId="0" fillId="0" borderId="39" xfId="0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24" xfId="0" applyBorder="1"/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43" xfId="0" applyBorder="1"/>
    <xf numFmtId="0" fontId="0" fillId="0" borderId="40" xfId="0" applyFill="1" applyBorder="1"/>
    <xf numFmtId="0" fontId="0" fillId="0" borderId="44" xfId="0" applyBorder="1"/>
    <xf numFmtId="0" fontId="0" fillId="0" borderId="45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R52"/>
  <sheetViews>
    <sheetView zoomScale="50" zoomScaleNormal="50" workbookViewId="0">
      <selection activeCell="N34" sqref="N34"/>
    </sheetView>
  </sheetViews>
  <sheetFormatPr defaultRowHeight="14.5" x14ac:dyDescent="0.35"/>
  <cols>
    <col min="3" max="3" width="12.1796875" customWidth="1"/>
    <col min="4" max="4" width="13.81640625" customWidth="1"/>
    <col min="5" max="5" width="11.1796875" customWidth="1"/>
    <col min="6" max="6" width="12.26953125" customWidth="1"/>
    <col min="12" max="12" width="12.1796875" customWidth="1"/>
    <col min="13" max="13" width="13.81640625" customWidth="1"/>
    <col min="14" max="14" width="11.1796875" customWidth="1"/>
    <col min="15" max="15" width="12.26953125" customWidth="1"/>
    <col min="20" max="20" width="12.1796875" customWidth="1"/>
    <col min="21" max="21" width="13.81640625" customWidth="1"/>
    <col min="22" max="22" width="11.1796875" customWidth="1"/>
    <col min="23" max="23" width="12.26953125" customWidth="1"/>
    <col min="28" max="28" width="12.1796875" customWidth="1"/>
    <col min="29" max="29" width="13.81640625" customWidth="1"/>
    <col min="30" max="30" width="11.1796875" customWidth="1"/>
    <col min="31" max="31" width="12.26953125" customWidth="1"/>
    <col min="33" max="33" width="9.08984375" customWidth="1"/>
    <col min="36" max="36" width="12.1796875" customWidth="1"/>
    <col min="37" max="37" width="13.81640625" customWidth="1"/>
    <col min="38" max="38" width="11.1796875" customWidth="1"/>
    <col min="39" max="39" width="12.26953125" customWidth="1"/>
    <col min="44" max="44" width="12.1796875" customWidth="1"/>
    <col min="45" max="45" width="13.81640625" customWidth="1"/>
    <col min="46" max="46" width="11.1796875" customWidth="1"/>
    <col min="47" max="47" width="12.26953125" customWidth="1"/>
    <col min="52" max="52" width="12.1796875" customWidth="1"/>
    <col min="53" max="53" width="13.81640625" customWidth="1"/>
    <col min="54" max="54" width="11.1796875" customWidth="1"/>
    <col min="55" max="55" width="12.26953125" customWidth="1"/>
    <col min="60" max="60" width="12.1796875" customWidth="1"/>
    <col min="61" max="61" width="13.81640625" customWidth="1"/>
    <col min="62" max="62" width="11.1796875" customWidth="1"/>
    <col min="63" max="63" width="12.26953125" customWidth="1"/>
    <col min="68" max="68" width="12.1796875" customWidth="1"/>
    <col min="69" max="69" width="13.81640625" customWidth="1"/>
    <col min="70" max="70" width="11.1796875" customWidth="1"/>
    <col min="71" max="71" width="12.26953125" customWidth="1"/>
    <col min="76" max="76" width="12.1796875" customWidth="1"/>
    <col min="77" max="77" width="13.81640625" customWidth="1"/>
    <col min="78" max="78" width="11.1796875" customWidth="1"/>
    <col min="79" max="79" width="12.26953125" customWidth="1"/>
    <col min="84" max="84" width="12.1796875" customWidth="1"/>
    <col min="85" max="85" width="13.81640625" customWidth="1"/>
    <col min="86" max="86" width="11.1796875" customWidth="1"/>
    <col min="87" max="87" width="12.26953125" customWidth="1"/>
    <col min="92" max="92" width="12.1796875" customWidth="1"/>
    <col min="93" max="93" width="13.81640625" customWidth="1"/>
    <col min="94" max="94" width="11.1796875" customWidth="1"/>
    <col min="95" max="95" width="12.26953125" customWidth="1"/>
    <col min="100" max="100" width="12.1796875" customWidth="1"/>
    <col min="101" max="101" width="13.81640625" customWidth="1"/>
    <col min="102" max="102" width="11.1796875" customWidth="1"/>
    <col min="103" max="103" width="12.26953125" customWidth="1"/>
    <col min="108" max="108" width="12.1796875" customWidth="1"/>
    <col min="109" max="109" width="13.81640625" customWidth="1"/>
    <col min="110" max="110" width="11.1796875" customWidth="1"/>
    <col min="111" max="111" width="12.26953125" customWidth="1"/>
    <col min="116" max="116" width="12.1796875" customWidth="1"/>
    <col min="117" max="117" width="13.81640625" customWidth="1"/>
    <col min="118" max="118" width="11.1796875" customWidth="1"/>
    <col min="119" max="119" width="12.26953125" customWidth="1"/>
    <col min="124" max="124" width="12.1796875" customWidth="1"/>
    <col min="125" max="125" width="13.81640625" customWidth="1"/>
    <col min="126" max="126" width="11.1796875" customWidth="1"/>
    <col min="127" max="127" width="12.26953125" customWidth="1"/>
    <col min="131" max="131" width="11.1796875" customWidth="1"/>
    <col min="133" max="133" width="12.36328125" customWidth="1"/>
    <col min="134" max="135" width="12.90625" customWidth="1"/>
    <col min="136" max="136" width="12.1796875" customWidth="1"/>
    <col min="139" max="139" width="10.1796875" customWidth="1"/>
    <col min="141" max="141" width="13" customWidth="1"/>
    <col min="142" max="143" width="13.36328125" customWidth="1"/>
    <col min="144" max="144" width="12.1796875" customWidth="1"/>
    <col min="147" max="147" width="10.1796875" customWidth="1"/>
    <col min="149" max="149" width="13" customWidth="1"/>
    <col min="150" max="151" width="13.36328125" customWidth="1"/>
    <col min="152" max="152" width="12.1796875" customWidth="1"/>
    <col min="155" max="155" width="10.1796875" customWidth="1"/>
    <col min="157" max="157" width="13" customWidth="1"/>
    <col min="158" max="159" width="13.36328125" customWidth="1"/>
    <col min="160" max="160" width="12.1796875" customWidth="1"/>
    <col min="163" max="163" width="10.1796875" customWidth="1"/>
    <col min="165" max="165" width="13" customWidth="1"/>
    <col min="166" max="167" width="13.36328125" customWidth="1"/>
    <col min="168" max="168" width="12.1796875" customWidth="1"/>
    <col min="171" max="171" width="10.1796875" customWidth="1"/>
    <col min="173" max="173" width="13" customWidth="1"/>
    <col min="174" max="175" width="13.36328125" customWidth="1"/>
    <col min="176" max="176" width="12.1796875" customWidth="1"/>
    <col min="179" max="179" width="10.1796875" customWidth="1"/>
    <col min="181" max="181" width="13" customWidth="1"/>
    <col min="182" max="183" width="13.36328125" customWidth="1"/>
    <col min="184" max="184" width="12.1796875" customWidth="1"/>
    <col min="187" max="187" width="10.1796875" customWidth="1"/>
    <col min="189" max="189" width="13" customWidth="1"/>
    <col min="190" max="191" width="13.36328125" customWidth="1"/>
    <col min="192" max="192" width="12.1796875" customWidth="1"/>
    <col min="195" max="195" width="10.1796875" customWidth="1"/>
    <col min="197" max="197" width="13" customWidth="1"/>
    <col min="198" max="199" width="13.36328125" customWidth="1"/>
    <col min="200" max="200" width="12.1796875" customWidth="1"/>
    <col min="203" max="203" width="10.1796875" customWidth="1"/>
    <col min="205" max="205" width="13" customWidth="1"/>
    <col min="206" max="207" width="13.36328125" customWidth="1"/>
    <col min="208" max="208" width="12.1796875" customWidth="1"/>
    <col min="211" max="211" width="10.1796875" customWidth="1"/>
    <col min="213" max="213" width="13" customWidth="1"/>
    <col min="214" max="215" width="13.36328125" customWidth="1"/>
    <col min="216" max="216" width="12.1796875" customWidth="1"/>
    <col min="219" max="219" width="10.1796875" customWidth="1"/>
    <col min="221" max="221" width="13" customWidth="1"/>
    <col min="222" max="223" width="13.36328125" customWidth="1"/>
    <col min="224" max="224" width="12.1796875" customWidth="1"/>
    <col min="227" max="227" width="10.1796875" customWidth="1"/>
    <col min="229" max="229" width="13" customWidth="1"/>
    <col min="230" max="231" width="13.36328125" customWidth="1"/>
    <col min="232" max="232" width="12.1796875" customWidth="1"/>
    <col min="235" max="235" width="10.1796875" customWidth="1"/>
    <col min="236" max="236" width="9.54296875" bestFit="1" customWidth="1"/>
    <col min="237" max="237" width="13" customWidth="1"/>
    <col min="238" max="239" width="13.36328125" customWidth="1"/>
    <col min="240" max="240" width="12.1796875" customWidth="1"/>
    <col min="241" max="241" width="9.54296875" bestFit="1" customWidth="1"/>
    <col min="243" max="243" width="10.1796875" customWidth="1"/>
    <col min="245" max="245" width="13" customWidth="1"/>
    <col min="246" max="247" width="13.36328125" customWidth="1"/>
    <col min="248" max="248" width="12.1796875" customWidth="1"/>
    <col min="251" max="251" width="10.1796875" customWidth="1"/>
    <col min="252" max="252" width="9.54296875" bestFit="1" customWidth="1"/>
    <col min="253" max="253" width="13" customWidth="1"/>
    <col min="254" max="255" width="13.36328125" customWidth="1"/>
    <col min="256" max="256" width="12.1796875" customWidth="1"/>
    <col min="257" max="257" width="9.54296875" bestFit="1" customWidth="1"/>
    <col min="259" max="259" width="10.1796875" customWidth="1"/>
    <col min="261" max="261" width="13" customWidth="1"/>
    <col min="262" max="263" width="13.36328125" customWidth="1"/>
    <col min="264" max="264" width="12.1796875" customWidth="1"/>
    <col min="267" max="267" width="10.1796875" customWidth="1"/>
    <col min="269" max="269" width="13" customWidth="1"/>
    <col min="270" max="271" width="13.36328125" customWidth="1"/>
    <col min="272" max="272" width="12.1796875" customWidth="1"/>
    <col min="275" max="275" width="10.1796875" customWidth="1"/>
    <col min="277" max="277" width="13" customWidth="1"/>
    <col min="278" max="279" width="13.36328125" customWidth="1"/>
    <col min="280" max="280" width="12.1796875" customWidth="1"/>
    <col min="283" max="283" width="10.1796875" customWidth="1"/>
    <col min="285" max="285" width="13" customWidth="1"/>
    <col min="286" max="287" width="13.36328125" customWidth="1"/>
    <col min="288" max="288" width="12.1796875" customWidth="1"/>
    <col min="291" max="291" width="10.1796875" customWidth="1"/>
    <col min="293" max="293" width="13" customWidth="1"/>
    <col min="294" max="295" width="13.36328125" customWidth="1"/>
    <col min="296" max="296" width="12.1796875" customWidth="1"/>
    <col min="299" max="299" width="10.1796875" customWidth="1"/>
    <col min="301" max="301" width="13" customWidth="1"/>
    <col min="302" max="303" width="13.36328125" customWidth="1"/>
    <col min="304" max="304" width="12.1796875" customWidth="1"/>
    <col min="307" max="307" width="10.1796875" customWidth="1"/>
    <col min="309" max="309" width="13" customWidth="1"/>
    <col min="310" max="311" width="13.36328125" customWidth="1"/>
    <col min="312" max="312" width="12.1796875" customWidth="1"/>
    <col min="315" max="315" width="10.1796875" customWidth="1"/>
    <col min="317" max="317" width="13" customWidth="1"/>
    <col min="318" max="319" width="13.36328125" customWidth="1"/>
    <col min="320" max="320" width="12.1796875" customWidth="1"/>
    <col min="323" max="323" width="10.1796875" customWidth="1"/>
    <col min="324" max="324" width="10.54296875" bestFit="1" customWidth="1"/>
    <col min="325" max="325" width="13" customWidth="1"/>
    <col min="326" max="327" width="13.36328125" customWidth="1"/>
    <col min="328" max="328" width="12.1796875" customWidth="1"/>
    <col min="329" max="329" width="10.54296875" bestFit="1" customWidth="1"/>
  </cols>
  <sheetData>
    <row r="1" spans="1:330" x14ac:dyDescent="0.35">
      <c r="A1" s="1" t="s">
        <v>46</v>
      </c>
      <c r="J1" s="1" t="s">
        <v>47</v>
      </c>
      <c r="R1" s="1" t="s">
        <v>48</v>
      </c>
      <c r="Z1" s="1" t="s">
        <v>55</v>
      </c>
      <c r="AH1" s="1" t="s">
        <v>56</v>
      </c>
      <c r="AP1" s="1" t="s">
        <v>57</v>
      </c>
      <c r="AX1" s="1" t="s">
        <v>58</v>
      </c>
      <c r="BF1" s="1" t="s">
        <v>59</v>
      </c>
      <c r="BN1" s="1" t="s">
        <v>60</v>
      </c>
      <c r="BV1" s="1" t="s">
        <v>61</v>
      </c>
      <c r="CD1" s="1" t="s">
        <v>62</v>
      </c>
      <c r="CL1" s="1" t="s">
        <v>63</v>
      </c>
      <c r="CT1" s="1" t="s">
        <v>64</v>
      </c>
      <c r="DB1" s="1" t="s">
        <v>65</v>
      </c>
      <c r="DE1" s="2" t="s">
        <v>0</v>
      </c>
      <c r="DJ1" s="1" t="s">
        <v>66</v>
      </c>
      <c r="DM1" s="2" t="s">
        <v>0</v>
      </c>
      <c r="DR1" s="1" t="s">
        <v>67</v>
      </c>
      <c r="DU1" s="2" t="s">
        <v>0</v>
      </c>
      <c r="EA1" s="1" t="s">
        <v>68</v>
      </c>
      <c r="EI1" s="1" t="s">
        <v>1</v>
      </c>
      <c r="EQ1" s="1" t="s">
        <v>2</v>
      </c>
      <c r="EY1" s="1" t="s">
        <v>3</v>
      </c>
      <c r="FG1" s="1" t="s">
        <v>4</v>
      </c>
      <c r="FO1" s="1" t="s">
        <v>5</v>
      </c>
      <c r="FW1" s="1" t="s">
        <v>6</v>
      </c>
      <c r="GE1" s="1" t="s">
        <v>7</v>
      </c>
      <c r="GM1" s="1" t="s">
        <v>8</v>
      </c>
      <c r="GO1" s="2" t="s">
        <v>0</v>
      </c>
      <c r="GU1" s="1" t="s">
        <v>9</v>
      </c>
      <c r="GW1" s="2"/>
      <c r="HC1" s="1" t="s">
        <v>10</v>
      </c>
      <c r="HE1" s="2"/>
      <c r="HK1" s="1" t="s">
        <v>11</v>
      </c>
      <c r="HM1" s="2"/>
      <c r="HS1" s="1" t="s">
        <v>12</v>
      </c>
      <c r="HU1" s="2"/>
      <c r="IA1" s="1" t="s">
        <v>13</v>
      </c>
      <c r="IC1" s="2"/>
      <c r="II1" s="1" t="s">
        <v>14</v>
      </c>
      <c r="IK1" s="2"/>
      <c r="IQ1" s="1" t="s">
        <v>15</v>
      </c>
      <c r="IS1" s="2"/>
      <c r="IY1" s="1" t="s">
        <v>16</v>
      </c>
      <c r="JA1" s="2"/>
      <c r="JG1" s="1" t="s">
        <v>17</v>
      </c>
      <c r="JI1" s="2"/>
      <c r="JO1" s="1" t="s">
        <v>18</v>
      </c>
      <c r="JQ1" s="2"/>
      <c r="JW1" s="1" t="s">
        <v>19</v>
      </c>
      <c r="JY1" s="2"/>
      <c r="KE1" s="1" t="s">
        <v>20</v>
      </c>
      <c r="KG1" s="2"/>
      <c r="KM1" s="1" t="s">
        <v>21</v>
      </c>
      <c r="KO1" s="2"/>
      <c r="KU1" s="1" t="s">
        <v>22</v>
      </c>
      <c r="KW1" s="2"/>
      <c r="LC1" s="1" t="s">
        <v>23</v>
      </c>
      <c r="LE1" s="2"/>
      <c r="LK1" s="1" t="s">
        <v>24</v>
      </c>
      <c r="LM1" s="2"/>
    </row>
    <row r="2" spans="1:330" ht="29" x14ac:dyDescent="0.35">
      <c r="A2" s="3" t="s">
        <v>25</v>
      </c>
      <c r="B2" s="3" t="s">
        <v>26</v>
      </c>
      <c r="C2" s="3" t="s">
        <v>27</v>
      </c>
      <c r="D2" s="3" t="s">
        <v>71</v>
      </c>
      <c r="E2" s="3" t="s">
        <v>28</v>
      </c>
      <c r="F2" s="3" t="s">
        <v>29</v>
      </c>
      <c r="G2" s="4" t="s">
        <v>30</v>
      </c>
      <c r="H2" s="169" t="s">
        <v>85</v>
      </c>
      <c r="J2" s="3" t="s">
        <v>25</v>
      </c>
      <c r="K2" s="3" t="s">
        <v>26</v>
      </c>
      <c r="L2" s="3" t="s">
        <v>27</v>
      </c>
      <c r="M2" s="3" t="s">
        <v>71</v>
      </c>
      <c r="N2" s="3" t="s">
        <v>28</v>
      </c>
      <c r="O2" s="3" t="s">
        <v>29</v>
      </c>
      <c r="P2" s="4" t="s">
        <v>30</v>
      </c>
      <c r="Q2" s="169" t="s">
        <v>85</v>
      </c>
      <c r="R2" s="3" t="s">
        <v>25</v>
      </c>
      <c r="S2" s="3" t="s">
        <v>26</v>
      </c>
      <c r="T2" s="3" t="s">
        <v>27</v>
      </c>
      <c r="U2" s="3" t="s">
        <v>71</v>
      </c>
      <c r="V2" s="3" t="s">
        <v>28</v>
      </c>
      <c r="W2" s="3" t="s">
        <v>29</v>
      </c>
      <c r="X2" s="4" t="s">
        <v>30</v>
      </c>
      <c r="Y2" s="169" t="s">
        <v>85</v>
      </c>
      <c r="Z2" s="3" t="s">
        <v>25</v>
      </c>
      <c r="AA2" s="3" t="s">
        <v>26</v>
      </c>
      <c r="AB2" s="3" t="s">
        <v>27</v>
      </c>
      <c r="AC2" s="3" t="s">
        <v>71</v>
      </c>
      <c r="AD2" s="3" t="s">
        <v>28</v>
      </c>
      <c r="AE2" s="3" t="s">
        <v>29</v>
      </c>
      <c r="AF2" s="4" t="s">
        <v>30</v>
      </c>
      <c r="AG2" s="169" t="s">
        <v>85</v>
      </c>
      <c r="AH2" s="3" t="s">
        <v>25</v>
      </c>
      <c r="AI2" s="3" t="s">
        <v>26</v>
      </c>
      <c r="AJ2" s="3" t="s">
        <v>27</v>
      </c>
      <c r="AK2" s="3" t="s">
        <v>71</v>
      </c>
      <c r="AL2" s="3" t="s">
        <v>28</v>
      </c>
      <c r="AM2" s="3" t="s">
        <v>29</v>
      </c>
      <c r="AN2" s="4" t="s">
        <v>30</v>
      </c>
      <c r="AO2" s="169" t="s">
        <v>85</v>
      </c>
      <c r="AP2" s="3" t="s">
        <v>25</v>
      </c>
      <c r="AQ2" s="3" t="s">
        <v>26</v>
      </c>
      <c r="AR2" s="3" t="s">
        <v>27</v>
      </c>
      <c r="AS2" s="3" t="s">
        <v>71</v>
      </c>
      <c r="AT2" s="3" t="s">
        <v>28</v>
      </c>
      <c r="AU2" s="3" t="s">
        <v>29</v>
      </c>
      <c r="AV2" s="4" t="s">
        <v>30</v>
      </c>
      <c r="AW2" s="169" t="s">
        <v>85</v>
      </c>
      <c r="AX2" s="3" t="s">
        <v>25</v>
      </c>
      <c r="AY2" s="3" t="s">
        <v>26</v>
      </c>
      <c r="AZ2" s="3" t="s">
        <v>27</v>
      </c>
      <c r="BA2" s="3" t="s">
        <v>71</v>
      </c>
      <c r="BB2" s="3" t="s">
        <v>28</v>
      </c>
      <c r="BC2" s="3" t="s">
        <v>29</v>
      </c>
      <c r="BD2" s="4" t="s">
        <v>30</v>
      </c>
      <c r="BE2" s="169" t="s">
        <v>85</v>
      </c>
      <c r="BF2" s="3" t="s">
        <v>25</v>
      </c>
      <c r="BG2" s="3" t="s">
        <v>26</v>
      </c>
      <c r="BH2" s="3" t="s">
        <v>27</v>
      </c>
      <c r="BI2" s="3" t="s">
        <v>71</v>
      </c>
      <c r="BJ2" s="3" t="s">
        <v>28</v>
      </c>
      <c r="BK2" s="3" t="s">
        <v>29</v>
      </c>
      <c r="BL2" s="4" t="s">
        <v>30</v>
      </c>
      <c r="BM2" s="169" t="s">
        <v>85</v>
      </c>
      <c r="BN2" s="3" t="s">
        <v>25</v>
      </c>
      <c r="BO2" s="3" t="s">
        <v>26</v>
      </c>
      <c r="BP2" s="3" t="s">
        <v>27</v>
      </c>
      <c r="BQ2" s="3" t="s">
        <v>71</v>
      </c>
      <c r="BR2" s="3" t="s">
        <v>28</v>
      </c>
      <c r="BS2" s="3" t="s">
        <v>29</v>
      </c>
      <c r="BT2" s="4" t="s">
        <v>30</v>
      </c>
      <c r="BU2" s="169" t="s">
        <v>85</v>
      </c>
      <c r="BV2" s="3" t="s">
        <v>25</v>
      </c>
      <c r="BW2" s="3" t="s">
        <v>26</v>
      </c>
      <c r="BX2" s="3" t="s">
        <v>27</v>
      </c>
      <c r="BY2" s="3" t="s">
        <v>71</v>
      </c>
      <c r="BZ2" s="3" t="s">
        <v>28</v>
      </c>
      <c r="CA2" s="3" t="s">
        <v>29</v>
      </c>
      <c r="CB2" s="4" t="s">
        <v>30</v>
      </c>
      <c r="CC2" s="169" t="s">
        <v>85</v>
      </c>
      <c r="CD2" s="3" t="s">
        <v>25</v>
      </c>
      <c r="CE2" s="3" t="s">
        <v>26</v>
      </c>
      <c r="CF2" s="3" t="s">
        <v>27</v>
      </c>
      <c r="CG2" s="3" t="s">
        <v>71</v>
      </c>
      <c r="CH2" s="3" t="s">
        <v>28</v>
      </c>
      <c r="CI2" s="3" t="s">
        <v>29</v>
      </c>
      <c r="CJ2" s="4" t="s">
        <v>30</v>
      </c>
      <c r="CK2" s="169" t="s">
        <v>85</v>
      </c>
      <c r="CL2" s="3" t="s">
        <v>25</v>
      </c>
      <c r="CM2" s="3" t="s">
        <v>26</v>
      </c>
      <c r="CN2" s="3" t="s">
        <v>27</v>
      </c>
      <c r="CO2" s="3" t="s">
        <v>71</v>
      </c>
      <c r="CP2" s="3" t="s">
        <v>28</v>
      </c>
      <c r="CQ2" s="3" t="s">
        <v>29</v>
      </c>
      <c r="CR2" s="4" t="s">
        <v>30</v>
      </c>
      <c r="CS2" s="169" t="s">
        <v>85</v>
      </c>
      <c r="CT2" s="3" t="s">
        <v>25</v>
      </c>
      <c r="CU2" s="3" t="s">
        <v>26</v>
      </c>
      <c r="CV2" s="3" t="s">
        <v>27</v>
      </c>
      <c r="CW2" s="3" t="s">
        <v>71</v>
      </c>
      <c r="CX2" s="3" t="s">
        <v>28</v>
      </c>
      <c r="CY2" s="3" t="s">
        <v>29</v>
      </c>
      <c r="CZ2" s="4" t="s">
        <v>30</v>
      </c>
      <c r="DA2" s="169" t="s">
        <v>85</v>
      </c>
      <c r="DB2" s="3" t="s">
        <v>25</v>
      </c>
      <c r="DC2" s="3" t="s">
        <v>26</v>
      </c>
      <c r="DD2" s="3" t="s">
        <v>27</v>
      </c>
      <c r="DE2" s="3" t="s">
        <v>71</v>
      </c>
      <c r="DF2" s="3" t="s">
        <v>28</v>
      </c>
      <c r="DG2" s="3" t="s">
        <v>29</v>
      </c>
      <c r="DH2" s="4" t="s">
        <v>30</v>
      </c>
      <c r="DI2" s="169" t="s">
        <v>85</v>
      </c>
      <c r="DJ2" s="3" t="s">
        <v>25</v>
      </c>
      <c r="DK2" s="3" t="s">
        <v>26</v>
      </c>
      <c r="DL2" s="3" t="s">
        <v>27</v>
      </c>
      <c r="DM2" s="3" t="s">
        <v>71</v>
      </c>
      <c r="DN2" s="3" t="s">
        <v>28</v>
      </c>
      <c r="DO2" s="3" t="s">
        <v>29</v>
      </c>
      <c r="DP2" s="4" t="s">
        <v>30</v>
      </c>
      <c r="DQ2" s="169" t="s">
        <v>85</v>
      </c>
      <c r="DR2" s="3" t="s">
        <v>25</v>
      </c>
      <c r="DS2" s="3" t="s">
        <v>26</v>
      </c>
      <c r="DT2" s="3" t="s">
        <v>27</v>
      </c>
      <c r="DU2" s="3" t="s">
        <v>71</v>
      </c>
      <c r="DV2" s="3" t="s">
        <v>28</v>
      </c>
      <c r="DW2" s="3" t="s">
        <v>29</v>
      </c>
      <c r="DX2" s="4" t="s">
        <v>30</v>
      </c>
      <c r="DY2" s="169" t="s">
        <v>85</v>
      </c>
      <c r="EA2" s="3" t="s">
        <v>25</v>
      </c>
      <c r="EB2" s="3" t="s">
        <v>26</v>
      </c>
      <c r="EC2" s="3" t="s">
        <v>27</v>
      </c>
      <c r="ED2" s="3" t="s">
        <v>71</v>
      </c>
      <c r="EE2" s="3" t="s">
        <v>28</v>
      </c>
      <c r="EF2" s="3" t="s">
        <v>29</v>
      </c>
      <c r="EG2" s="4" t="s">
        <v>30</v>
      </c>
      <c r="EH2" s="169" t="s">
        <v>85</v>
      </c>
      <c r="EI2" s="3" t="s">
        <v>25</v>
      </c>
      <c r="EJ2" s="3" t="s">
        <v>26</v>
      </c>
      <c r="EK2" s="3" t="s">
        <v>27</v>
      </c>
      <c r="EL2" s="3" t="s">
        <v>71</v>
      </c>
      <c r="EM2" s="3" t="s">
        <v>28</v>
      </c>
      <c r="EN2" s="3" t="s">
        <v>29</v>
      </c>
      <c r="EO2" s="4" t="s">
        <v>30</v>
      </c>
      <c r="EP2" s="169" t="s">
        <v>85</v>
      </c>
      <c r="EQ2" s="3" t="s">
        <v>25</v>
      </c>
      <c r="ER2" s="3" t="s">
        <v>26</v>
      </c>
      <c r="ES2" s="3" t="s">
        <v>27</v>
      </c>
      <c r="ET2" s="3" t="s">
        <v>71</v>
      </c>
      <c r="EU2" s="3" t="s">
        <v>28</v>
      </c>
      <c r="EV2" s="3" t="s">
        <v>29</v>
      </c>
      <c r="EW2" s="4" t="s">
        <v>30</v>
      </c>
      <c r="EX2" s="169" t="s">
        <v>85</v>
      </c>
      <c r="EY2" s="3" t="s">
        <v>25</v>
      </c>
      <c r="EZ2" s="3" t="s">
        <v>26</v>
      </c>
      <c r="FA2" s="3" t="s">
        <v>27</v>
      </c>
      <c r="FB2" s="3" t="s">
        <v>71</v>
      </c>
      <c r="FC2" s="3" t="s">
        <v>28</v>
      </c>
      <c r="FD2" s="3" t="s">
        <v>29</v>
      </c>
      <c r="FE2" s="4" t="s">
        <v>30</v>
      </c>
      <c r="FF2" s="169" t="s">
        <v>85</v>
      </c>
      <c r="FG2" s="3" t="s">
        <v>25</v>
      </c>
      <c r="FH2" s="3" t="s">
        <v>26</v>
      </c>
      <c r="FI2" s="3" t="s">
        <v>27</v>
      </c>
      <c r="FJ2" s="3" t="s">
        <v>71</v>
      </c>
      <c r="FK2" s="3" t="s">
        <v>28</v>
      </c>
      <c r="FL2" s="3" t="s">
        <v>29</v>
      </c>
      <c r="FM2" s="4" t="s">
        <v>30</v>
      </c>
      <c r="FN2" s="169" t="s">
        <v>85</v>
      </c>
      <c r="FO2" s="3" t="s">
        <v>25</v>
      </c>
      <c r="FP2" s="3" t="s">
        <v>26</v>
      </c>
      <c r="FQ2" s="3" t="s">
        <v>27</v>
      </c>
      <c r="FR2" s="3" t="s">
        <v>71</v>
      </c>
      <c r="FS2" s="3" t="s">
        <v>28</v>
      </c>
      <c r="FT2" s="3" t="s">
        <v>29</v>
      </c>
      <c r="FU2" s="4" t="s">
        <v>30</v>
      </c>
      <c r="FV2" s="169" t="s">
        <v>85</v>
      </c>
      <c r="FW2" s="3" t="s">
        <v>25</v>
      </c>
      <c r="FX2" s="3" t="s">
        <v>26</v>
      </c>
      <c r="FY2" s="3" t="s">
        <v>27</v>
      </c>
      <c r="FZ2" s="3" t="s">
        <v>71</v>
      </c>
      <c r="GA2" s="3" t="s">
        <v>28</v>
      </c>
      <c r="GB2" s="3" t="s">
        <v>29</v>
      </c>
      <c r="GC2" s="4" t="s">
        <v>30</v>
      </c>
      <c r="GD2" s="169" t="s">
        <v>85</v>
      </c>
      <c r="GE2" s="3" t="s">
        <v>25</v>
      </c>
      <c r="GF2" s="3" t="s">
        <v>26</v>
      </c>
      <c r="GG2" s="3" t="s">
        <v>27</v>
      </c>
      <c r="GH2" s="3" t="s">
        <v>71</v>
      </c>
      <c r="GI2" s="3" t="s">
        <v>28</v>
      </c>
      <c r="GJ2" s="3" t="s">
        <v>29</v>
      </c>
      <c r="GK2" s="4" t="s">
        <v>30</v>
      </c>
      <c r="GL2" s="169" t="s">
        <v>85</v>
      </c>
      <c r="GM2" s="3" t="s">
        <v>25</v>
      </c>
      <c r="GN2" s="3" t="s">
        <v>26</v>
      </c>
      <c r="GO2" s="3" t="s">
        <v>27</v>
      </c>
      <c r="GP2" s="3" t="s">
        <v>71</v>
      </c>
      <c r="GQ2" s="3" t="s">
        <v>28</v>
      </c>
      <c r="GR2" s="3" t="s">
        <v>29</v>
      </c>
      <c r="GS2" s="4" t="s">
        <v>30</v>
      </c>
      <c r="GT2" s="169" t="s">
        <v>85</v>
      </c>
      <c r="GU2" s="3" t="s">
        <v>25</v>
      </c>
      <c r="GV2" s="3" t="s">
        <v>26</v>
      </c>
      <c r="GW2" s="3" t="s">
        <v>27</v>
      </c>
      <c r="GX2" s="3" t="s">
        <v>71</v>
      </c>
      <c r="GY2" s="3" t="s">
        <v>28</v>
      </c>
      <c r="GZ2" s="3" t="s">
        <v>29</v>
      </c>
      <c r="HA2" s="4" t="s">
        <v>30</v>
      </c>
      <c r="HB2" s="169" t="s">
        <v>85</v>
      </c>
      <c r="HC2" s="3" t="s">
        <v>25</v>
      </c>
      <c r="HD2" s="3" t="s">
        <v>26</v>
      </c>
      <c r="HE2" s="3" t="s">
        <v>27</v>
      </c>
      <c r="HF2" s="3" t="s">
        <v>71</v>
      </c>
      <c r="HG2" s="3" t="s">
        <v>28</v>
      </c>
      <c r="HH2" s="3" t="s">
        <v>29</v>
      </c>
      <c r="HI2" s="4" t="s">
        <v>30</v>
      </c>
      <c r="HJ2" s="169" t="s">
        <v>85</v>
      </c>
      <c r="HK2" s="3" t="s">
        <v>25</v>
      </c>
      <c r="HL2" s="3" t="s">
        <v>26</v>
      </c>
      <c r="HM2" s="3" t="s">
        <v>27</v>
      </c>
      <c r="HN2" s="3" t="s">
        <v>71</v>
      </c>
      <c r="HO2" s="3" t="s">
        <v>28</v>
      </c>
      <c r="HP2" s="3" t="s">
        <v>29</v>
      </c>
      <c r="HQ2" s="4" t="s">
        <v>30</v>
      </c>
      <c r="HR2" s="169" t="s">
        <v>85</v>
      </c>
      <c r="HS2" s="3" t="s">
        <v>25</v>
      </c>
      <c r="HT2" s="3" t="s">
        <v>26</v>
      </c>
      <c r="HU2" s="3" t="s">
        <v>27</v>
      </c>
      <c r="HV2" s="3" t="s">
        <v>71</v>
      </c>
      <c r="HW2" s="3" t="s">
        <v>28</v>
      </c>
      <c r="HX2" s="3" t="s">
        <v>29</v>
      </c>
      <c r="HY2" s="4" t="s">
        <v>30</v>
      </c>
      <c r="HZ2" s="169" t="s">
        <v>85</v>
      </c>
      <c r="IA2" s="3" t="s">
        <v>25</v>
      </c>
      <c r="IB2" s="3" t="s">
        <v>26</v>
      </c>
      <c r="IC2" s="3" t="s">
        <v>27</v>
      </c>
      <c r="ID2" s="3" t="s">
        <v>71</v>
      </c>
      <c r="IE2" s="3" t="s">
        <v>28</v>
      </c>
      <c r="IF2" s="3" t="s">
        <v>29</v>
      </c>
      <c r="IG2" s="4" t="s">
        <v>30</v>
      </c>
      <c r="IH2" s="169" t="s">
        <v>85</v>
      </c>
      <c r="II2" s="3" t="s">
        <v>25</v>
      </c>
      <c r="IJ2" s="3" t="s">
        <v>26</v>
      </c>
      <c r="IK2" s="3" t="s">
        <v>27</v>
      </c>
      <c r="IL2" s="3" t="s">
        <v>71</v>
      </c>
      <c r="IM2" s="3" t="s">
        <v>28</v>
      </c>
      <c r="IN2" s="3" t="s">
        <v>29</v>
      </c>
      <c r="IO2" s="4" t="s">
        <v>30</v>
      </c>
      <c r="IP2" s="169" t="s">
        <v>85</v>
      </c>
      <c r="IQ2" s="3" t="s">
        <v>25</v>
      </c>
      <c r="IR2" s="3" t="s">
        <v>26</v>
      </c>
      <c r="IS2" s="3" t="s">
        <v>27</v>
      </c>
      <c r="IT2" s="3" t="s">
        <v>71</v>
      </c>
      <c r="IU2" s="3" t="s">
        <v>28</v>
      </c>
      <c r="IV2" s="3" t="s">
        <v>29</v>
      </c>
      <c r="IW2" s="4" t="s">
        <v>30</v>
      </c>
      <c r="IX2" s="169" t="s">
        <v>85</v>
      </c>
      <c r="IY2" s="3" t="s">
        <v>25</v>
      </c>
      <c r="IZ2" s="3" t="s">
        <v>26</v>
      </c>
      <c r="JA2" s="3" t="s">
        <v>27</v>
      </c>
      <c r="JB2" s="3" t="s">
        <v>71</v>
      </c>
      <c r="JC2" s="3" t="s">
        <v>28</v>
      </c>
      <c r="JD2" s="3" t="s">
        <v>29</v>
      </c>
      <c r="JE2" s="4" t="s">
        <v>30</v>
      </c>
      <c r="JF2" s="169" t="s">
        <v>85</v>
      </c>
      <c r="JG2" s="3" t="s">
        <v>25</v>
      </c>
      <c r="JH2" s="3" t="s">
        <v>26</v>
      </c>
      <c r="JI2" s="3" t="s">
        <v>27</v>
      </c>
      <c r="JJ2" s="3" t="s">
        <v>71</v>
      </c>
      <c r="JK2" s="3" t="s">
        <v>28</v>
      </c>
      <c r="JL2" s="3" t="s">
        <v>29</v>
      </c>
      <c r="JM2" s="4" t="s">
        <v>30</v>
      </c>
      <c r="JN2" s="169" t="s">
        <v>85</v>
      </c>
      <c r="JO2" s="3" t="s">
        <v>25</v>
      </c>
      <c r="JP2" s="3" t="s">
        <v>26</v>
      </c>
      <c r="JQ2" s="3" t="s">
        <v>27</v>
      </c>
      <c r="JR2" s="3" t="s">
        <v>71</v>
      </c>
      <c r="JS2" s="3" t="s">
        <v>28</v>
      </c>
      <c r="JT2" s="3" t="s">
        <v>29</v>
      </c>
      <c r="JU2" s="4" t="s">
        <v>30</v>
      </c>
      <c r="JV2" s="169" t="s">
        <v>85</v>
      </c>
      <c r="JW2" s="3" t="s">
        <v>25</v>
      </c>
      <c r="JX2" s="3" t="s">
        <v>26</v>
      </c>
      <c r="JY2" s="3" t="s">
        <v>27</v>
      </c>
      <c r="JZ2" s="3" t="s">
        <v>71</v>
      </c>
      <c r="KA2" s="3" t="s">
        <v>28</v>
      </c>
      <c r="KB2" s="3" t="s">
        <v>29</v>
      </c>
      <c r="KC2" s="4" t="s">
        <v>30</v>
      </c>
      <c r="KD2" s="169" t="s">
        <v>85</v>
      </c>
      <c r="KE2" s="3" t="s">
        <v>25</v>
      </c>
      <c r="KF2" s="3" t="s">
        <v>26</v>
      </c>
      <c r="KG2" s="3" t="s">
        <v>27</v>
      </c>
      <c r="KH2" s="3" t="s">
        <v>71</v>
      </c>
      <c r="KI2" s="3" t="s">
        <v>28</v>
      </c>
      <c r="KJ2" s="3" t="s">
        <v>29</v>
      </c>
      <c r="KK2" s="4" t="s">
        <v>30</v>
      </c>
      <c r="KL2" s="169" t="s">
        <v>85</v>
      </c>
      <c r="KM2" s="3" t="s">
        <v>25</v>
      </c>
      <c r="KN2" s="3" t="s">
        <v>26</v>
      </c>
      <c r="KO2" s="3" t="s">
        <v>27</v>
      </c>
      <c r="KP2" s="3" t="s">
        <v>71</v>
      </c>
      <c r="KQ2" s="3" t="s">
        <v>28</v>
      </c>
      <c r="KR2" s="3" t="s">
        <v>29</v>
      </c>
      <c r="KS2" s="4" t="s">
        <v>30</v>
      </c>
      <c r="KT2" s="169" t="s">
        <v>85</v>
      </c>
      <c r="KU2" s="3" t="s">
        <v>25</v>
      </c>
      <c r="KV2" s="3" t="s">
        <v>26</v>
      </c>
      <c r="KW2" s="3" t="s">
        <v>27</v>
      </c>
      <c r="KX2" s="3" t="s">
        <v>71</v>
      </c>
      <c r="KY2" s="3" t="s">
        <v>28</v>
      </c>
      <c r="KZ2" s="3" t="s">
        <v>29</v>
      </c>
      <c r="LA2" s="4" t="s">
        <v>30</v>
      </c>
      <c r="LB2" s="169" t="s">
        <v>85</v>
      </c>
      <c r="LC2" s="3" t="s">
        <v>25</v>
      </c>
      <c r="LD2" s="3" t="s">
        <v>26</v>
      </c>
      <c r="LE2" s="3" t="s">
        <v>27</v>
      </c>
      <c r="LF2" s="3" t="s">
        <v>71</v>
      </c>
      <c r="LG2" s="3" t="s">
        <v>28</v>
      </c>
      <c r="LH2" s="3" t="s">
        <v>29</v>
      </c>
      <c r="LI2" s="4" t="s">
        <v>30</v>
      </c>
      <c r="LJ2" s="169" t="s">
        <v>85</v>
      </c>
      <c r="LK2" s="3" t="s">
        <v>25</v>
      </c>
      <c r="LL2" s="3" t="s">
        <v>26</v>
      </c>
      <c r="LM2" s="3" t="s">
        <v>27</v>
      </c>
      <c r="LN2" s="3" t="s">
        <v>71</v>
      </c>
      <c r="LO2" s="3" t="s">
        <v>28</v>
      </c>
      <c r="LP2" s="3" t="s">
        <v>29</v>
      </c>
      <c r="LQ2" s="4" t="s">
        <v>30</v>
      </c>
      <c r="LR2" s="169" t="s">
        <v>85</v>
      </c>
    </row>
    <row r="3" spans="1:330" ht="15" thickBot="1" x14ac:dyDescent="0.4">
      <c r="A3" s="6"/>
      <c r="J3" s="6"/>
      <c r="R3" s="6"/>
      <c r="Z3" s="6"/>
      <c r="AH3" s="6"/>
      <c r="AP3" s="6"/>
      <c r="AX3" s="6"/>
      <c r="BF3" s="6"/>
      <c r="BN3" s="6"/>
      <c r="BV3" s="6"/>
      <c r="CD3" s="6"/>
      <c r="CL3" s="6"/>
      <c r="CT3" s="6"/>
      <c r="DB3" s="6"/>
      <c r="DJ3" s="6"/>
      <c r="DR3" s="6"/>
      <c r="EA3" s="6"/>
      <c r="EI3" s="6"/>
      <c r="EQ3" s="6"/>
      <c r="EY3" s="6"/>
      <c r="FG3" s="6"/>
      <c r="FO3" s="6"/>
      <c r="FW3" s="6"/>
      <c r="GE3" s="6"/>
      <c r="GM3" s="6"/>
      <c r="GU3" s="6"/>
      <c r="HC3" s="6"/>
      <c r="HK3" s="6"/>
      <c r="HS3" s="6"/>
      <c r="IA3" s="6"/>
      <c r="II3" s="6"/>
      <c r="IQ3" s="6"/>
      <c r="IY3" s="6"/>
      <c r="JG3" s="6"/>
      <c r="JO3" s="6"/>
      <c r="JW3" s="6"/>
      <c r="KE3" s="6"/>
      <c r="KM3" s="6"/>
      <c r="KU3" s="6"/>
      <c r="LC3" s="6"/>
      <c r="LK3" s="6"/>
    </row>
    <row r="4" spans="1:330" x14ac:dyDescent="0.35">
      <c r="A4" s="7">
        <v>1</v>
      </c>
      <c r="B4" s="8">
        <v>0</v>
      </c>
      <c r="C4" s="9">
        <f>MEDIAN(3,3,3,3,3,3,2,3,3,3,3,3,3,2,3,3,2,3,1,3,2,3)</f>
        <v>3</v>
      </c>
      <c r="D4" s="9">
        <v>1</v>
      </c>
      <c r="E4" s="9">
        <v>1</v>
      </c>
      <c r="F4" s="9">
        <v>0</v>
      </c>
      <c r="G4" s="10">
        <f t="shared" ref="G4:G14" si="0">SUM(B4:F4)</f>
        <v>5</v>
      </c>
      <c r="H4" s="14"/>
      <c r="J4" s="11">
        <v>1</v>
      </c>
      <c r="K4" s="8">
        <v>1</v>
      </c>
      <c r="L4" s="9">
        <f>MEDIAN(3,2,3,2,3,3,3,2,3,3,3,1,3,3,3,2,3,3,3,3,2,3,3,2,2)</f>
        <v>3</v>
      </c>
      <c r="M4" s="9">
        <v>2</v>
      </c>
      <c r="N4" s="9">
        <v>2</v>
      </c>
      <c r="O4" s="9">
        <v>1</v>
      </c>
      <c r="P4" s="10">
        <f t="shared" ref="P4:P23" si="1">SUM(K4:O4)</f>
        <v>9</v>
      </c>
      <c r="R4" s="12">
        <v>1</v>
      </c>
      <c r="S4" s="8">
        <v>2</v>
      </c>
      <c r="T4" s="9">
        <f>MEDIAN(3,2,3,3,2,2,3,2,2,3,3,3,2,2,3,3,3,3,3,3,2)</f>
        <v>3</v>
      </c>
      <c r="U4" s="9">
        <v>3</v>
      </c>
      <c r="V4" s="9">
        <v>3</v>
      </c>
      <c r="W4" s="9">
        <v>2</v>
      </c>
      <c r="X4" s="10">
        <f t="shared" ref="X4:X28" si="2">SUM(S4:W4)</f>
        <v>13</v>
      </c>
      <c r="Z4" s="11">
        <v>1</v>
      </c>
      <c r="AA4" s="8">
        <v>2</v>
      </c>
      <c r="AB4" s="9">
        <f>MEDIAN(3,2,3,2,2,2,2,2,3,2,2,2,3,3,2,3,3,3,2,3,2,2,3,3,3)</f>
        <v>2</v>
      </c>
      <c r="AC4" s="9">
        <v>1</v>
      </c>
      <c r="AD4" s="9">
        <v>2</v>
      </c>
      <c r="AE4" s="9">
        <v>1</v>
      </c>
      <c r="AF4" s="10">
        <f t="shared" ref="AF4:AF19" si="3">SUM(AA4:AE4)</f>
        <v>8</v>
      </c>
      <c r="AH4" s="11">
        <v>1</v>
      </c>
      <c r="AI4" s="8">
        <v>2</v>
      </c>
      <c r="AJ4" s="9">
        <f>MEDIAN(2,3,3,2,2,2,2)</f>
        <v>2</v>
      </c>
      <c r="AK4" s="9">
        <v>2</v>
      </c>
      <c r="AL4" s="9" t="s">
        <v>31</v>
      </c>
      <c r="AM4" s="9">
        <v>2</v>
      </c>
      <c r="AN4" s="10">
        <f t="shared" ref="AN4:AN28" si="4">SUM(AI4:AM4)</f>
        <v>8</v>
      </c>
      <c r="AP4" s="12">
        <v>1</v>
      </c>
      <c r="AQ4" s="8">
        <v>2</v>
      </c>
      <c r="AR4" s="9">
        <f>MEDIAN(3,3,3,2,2,2,3,2,3,2)</f>
        <v>2.5</v>
      </c>
      <c r="AS4" s="9">
        <v>3</v>
      </c>
      <c r="AT4" s="9">
        <v>2</v>
      </c>
      <c r="AU4" s="9">
        <v>3</v>
      </c>
      <c r="AV4" s="10">
        <f t="shared" ref="AV4:AV27" si="5">SUM(AQ4:AU4)</f>
        <v>12.5</v>
      </c>
      <c r="AX4" s="12">
        <v>1</v>
      </c>
      <c r="AY4" s="8">
        <v>0</v>
      </c>
      <c r="AZ4" s="9">
        <f>MEDIAN(3,2,2,3,3,3,3,3,3,2,3,2,3,2,2,2,3,3,3,3,2,2,3,3,3,3,2,2,2,3,3,3,3,3,3,2,2,2)</f>
        <v>3</v>
      </c>
      <c r="BA4" s="9">
        <v>2</v>
      </c>
      <c r="BB4" s="9" t="s">
        <v>31</v>
      </c>
      <c r="BC4" s="9">
        <v>1</v>
      </c>
      <c r="BD4" s="10">
        <f t="shared" ref="BD4:BD28" si="6">SUM(AY4:BC4)</f>
        <v>6</v>
      </c>
      <c r="BF4" s="13">
        <v>1</v>
      </c>
      <c r="BG4" s="8">
        <v>2</v>
      </c>
      <c r="BH4" s="9">
        <f>MEDIAN(3,2,2,2,3,3,3,3,3,2,3,2)</f>
        <v>3</v>
      </c>
      <c r="BI4" s="9">
        <v>1</v>
      </c>
      <c r="BJ4" s="9">
        <v>1</v>
      </c>
      <c r="BK4" s="9">
        <v>0</v>
      </c>
      <c r="BL4" s="10">
        <f t="shared" ref="BL4:BL16" si="7">SUM(BG4:BK4)</f>
        <v>7</v>
      </c>
      <c r="BM4" s="14"/>
      <c r="BN4" s="11">
        <v>1</v>
      </c>
      <c r="BO4" s="8">
        <v>1</v>
      </c>
      <c r="BP4" s="9">
        <f>MEDIAN(3,3,2,3,3)</f>
        <v>3</v>
      </c>
      <c r="BQ4" s="9">
        <v>2</v>
      </c>
      <c r="BR4" s="9">
        <v>2</v>
      </c>
      <c r="BS4" s="9">
        <v>2</v>
      </c>
      <c r="BT4" s="10">
        <f t="shared" ref="BT4:BT19" si="8">SUM(BO4:BS4)</f>
        <v>10</v>
      </c>
      <c r="BU4" s="14"/>
      <c r="BV4" s="12">
        <v>1</v>
      </c>
      <c r="BW4" s="8">
        <v>0</v>
      </c>
      <c r="BX4" s="9">
        <f>MEDIAN(3,2,2,3,2,3)</f>
        <v>2.5</v>
      </c>
      <c r="BY4" s="9">
        <v>2</v>
      </c>
      <c r="BZ4" s="9">
        <v>2</v>
      </c>
      <c r="CA4" s="9">
        <v>1</v>
      </c>
      <c r="CB4" s="10">
        <f t="shared" ref="CB4:CB28" si="9">SUM(BW4:CA4)</f>
        <v>7.5</v>
      </c>
      <c r="CC4" s="14"/>
      <c r="CD4" s="7">
        <v>1</v>
      </c>
      <c r="CE4" s="8">
        <v>0</v>
      </c>
      <c r="CF4" s="9">
        <f>MEDIAN(3,2,2,3,3,2,2,2,3)</f>
        <v>2</v>
      </c>
      <c r="CG4" s="9">
        <v>3</v>
      </c>
      <c r="CH4" s="9" t="s">
        <v>31</v>
      </c>
      <c r="CI4" s="9">
        <v>3</v>
      </c>
      <c r="CJ4" s="10">
        <f t="shared" ref="CJ4:CJ18" si="10">SUM(CE4:CI4)</f>
        <v>8</v>
      </c>
      <c r="CK4" s="14"/>
      <c r="CL4" s="13">
        <v>1</v>
      </c>
      <c r="CM4" s="8">
        <v>0</v>
      </c>
      <c r="CN4" s="9">
        <f>MEDIAN(2,2,2,3,2,3,3,3,2)</f>
        <v>2</v>
      </c>
      <c r="CO4" s="9">
        <v>2</v>
      </c>
      <c r="CP4" s="9">
        <v>1</v>
      </c>
      <c r="CQ4" s="9">
        <v>1</v>
      </c>
      <c r="CR4" s="10">
        <f t="shared" ref="CR4:CR28" si="11">SUM(CM4:CQ4)</f>
        <v>6</v>
      </c>
      <c r="CT4" s="11">
        <v>1</v>
      </c>
      <c r="CU4" s="8">
        <v>0</v>
      </c>
      <c r="CV4" s="9">
        <f>MEDIAN(2,2,3,3,3,3,2,2,3,3)</f>
        <v>3</v>
      </c>
      <c r="CW4" s="9">
        <v>1</v>
      </c>
      <c r="CX4" s="9">
        <v>0</v>
      </c>
      <c r="CY4" s="9">
        <v>0</v>
      </c>
      <c r="CZ4" s="10">
        <f t="shared" ref="CZ4:CZ28" si="12">SUM(CU4:CY4)</f>
        <v>4</v>
      </c>
      <c r="DB4" s="13">
        <v>1</v>
      </c>
      <c r="DC4" s="8">
        <v>0</v>
      </c>
      <c r="DD4" s="9">
        <f>MEDIAN(2,2,1,3,3,2,3,3,2,2,2,2,3,2,2,2,3,3)</f>
        <v>2</v>
      </c>
      <c r="DE4" s="9">
        <v>3</v>
      </c>
      <c r="DF4" s="9">
        <v>1</v>
      </c>
      <c r="DG4" s="9">
        <v>1</v>
      </c>
      <c r="DH4" s="10">
        <f t="shared" ref="DH4:DH28" si="13">SUM(DC4:DG4)</f>
        <v>7</v>
      </c>
      <c r="DJ4" s="15">
        <v>1</v>
      </c>
      <c r="DK4" s="8">
        <v>1</v>
      </c>
      <c r="DL4" s="9">
        <f>MEDIAN(3,3,3,3,3,3,3,3,2,3,3,3,3,2,3,3,3,3)</f>
        <v>3</v>
      </c>
      <c r="DM4" s="9">
        <v>2</v>
      </c>
      <c r="DN4" s="9">
        <v>1</v>
      </c>
      <c r="DO4" s="9">
        <v>0</v>
      </c>
      <c r="DP4" s="10">
        <f t="shared" ref="DP4:DP28" si="14">SUM(DK4:DO4)</f>
        <v>7</v>
      </c>
      <c r="DQ4" s="14"/>
      <c r="DR4" s="13">
        <v>1</v>
      </c>
      <c r="DS4" s="8">
        <v>1</v>
      </c>
      <c r="DT4" s="9">
        <f>MEDIAN(3,3,3,2,3,3,2,2,2,3,3,2,3,3,3,2,3,2,3,2,3)</f>
        <v>3</v>
      </c>
      <c r="DU4" s="9">
        <v>2</v>
      </c>
      <c r="DV4" s="9">
        <v>3</v>
      </c>
      <c r="DW4" s="9">
        <v>1</v>
      </c>
      <c r="DX4" s="10">
        <f t="shared" ref="DX4:DX28" si="15">SUM(DS4:DW4)</f>
        <v>10</v>
      </c>
      <c r="DY4" s="14"/>
      <c r="EA4" s="15">
        <v>1</v>
      </c>
      <c r="EB4" s="9">
        <v>1</v>
      </c>
      <c r="EC4" s="16">
        <f>MEDIAN(3,3,2,2,3,3,2,3,3,1,3,2,1,3,2,3)</f>
        <v>3</v>
      </c>
      <c r="ED4" s="16">
        <v>2</v>
      </c>
      <c r="EE4" s="17" t="s">
        <v>31</v>
      </c>
      <c r="EF4" s="16">
        <v>1</v>
      </c>
      <c r="EG4" s="18">
        <f>SUM(EB4:EF4)</f>
        <v>7</v>
      </c>
      <c r="EH4">
        <f>EG4*(5/4)</f>
        <v>8.75</v>
      </c>
      <c r="EI4" s="19">
        <v>1</v>
      </c>
      <c r="EJ4" s="16">
        <v>1</v>
      </c>
      <c r="EK4" s="16">
        <f>MEDIAN(3,3,2,3,3,3)</f>
        <v>3</v>
      </c>
      <c r="EL4" s="16">
        <v>2</v>
      </c>
      <c r="EM4" s="16">
        <v>1</v>
      </c>
      <c r="EN4" s="16">
        <v>1</v>
      </c>
      <c r="EO4" s="18">
        <f>SUM(EJ4:EN4)</f>
        <v>8</v>
      </c>
      <c r="EQ4" s="20">
        <v>1</v>
      </c>
      <c r="ER4" s="16">
        <v>2</v>
      </c>
      <c r="ES4" s="21" t="s">
        <v>31</v>
      </c>
      <c r="ET4" s="16">
        <v>0</v>
      </c>
      <c r="EU4" s="17" t="s">
        <v>31</v>
      </c>
      <c r="EV4" s="16">
        <v>1</v>
      </c>
      <c r="EW4" s="18">
        <f>SUM(ER4:EV4)</f>
        <v>3</v>
      </c>
      <c r="EX4">
        <f>EW4*(5/3)</f>
        <v>5</v>
      </c>
      <c r="EY4" s="20">
        <v>1</v>
      </c>
      <c r="EZ4" s="16">
        <v>1</v>
      </c>
      <c r="FA4" s="16">
        <f>MEDIAN(3,3,3,3,3,3,3,3,3,3,3,3,2,3,3,2,2,3,3,3,3,3,3,3,3,3,3,3,2,3)</f>
        <v>3</v>
      </c>
      <c r="FB4" s="16">
        <v>1</v>
      </c>
      <c r="FC4" s="17" t="s">
        <v>31</v>
      </c>
      <c r="FD4" s="16">
        <v>1</v>
      </c>
      <c r="FE4" s="18">
        <f>SUM(EZ4:FD4)</f>
        <v>6</v>
      </c>
      <c r="FF4">
        <f>FE4*(5/4)</f>
        <v>7.5</v>
      </c>
      <c r="FG4" s="22">
        <v>1</v>
      </c>
      <c r="FH4" s="16">
        <v>0</v>
      </c>
      <c r="FI4" s="16">
        <f>MEDIAN(3,3,2,3,3,3,3,3,3,3,3,3,2,3,3,3,3,3,2,3,3,3,2,3,3,3,2,3,2,3)</f>
        <v>3</v>
      </c>
      <c r="FJ4" s="16">
        <v>1</v>
      </c>
      <c r="FK4" s="17">
        <v>1</v>
      </c>
      <c r="FL4" s="16">
        <v>1</v>
      </c>
      <c r="FM4" s="18">
        <f>SUM(FH4:FL4)</f>
        <v>6</v>
      </c>
      <c r="FO4" s="23">
        <v>1</v>
      </c>
      <c r="FP4" s="16">
        <v>0</v>
      </c>
      <c r="FQ4" s="16">
        <f>MEDIAN(3,3,3,3,3,2,2,2,3,2,3)</f>
        <v>3</v>
      </c>
      <c r="FR4" s="16">
        <v>2</v>
      </c>
      <c r="FS4" s="17">
        <v>2</v>
      </c>
      <c r="FT4" s="16">
        <v>1</v>
      </c>
      <c r="FU4" s="18">
        <f>SUM(FP4:FT4)</f>
        <v>8</v>
      </c>
      <c r="FW4" s="20">
        <v>1</v>
      </c>
      <c r="FX4" s="16">
        <v>0</v>
      </c>
      <c r="FY4" s="17">
        <f>MEDIAN(2,2,2,3,3,2,2,2,3,2,3,2,2,2,2)</f>
        <v>2</v>
      </c>
      <c r="FZ4" s="16">
        <v>2</v>
      </c>
      <c r="GA4" s="17">
        <v>1</v>
      </c>
      <c r="GB4" s="16">
        <v>1</v>
      </c>
      <c r="GC4" s="18">
        <f>SUM(FX4:GB4)</f>
        <v>6</v>
      </c>
      <c r="GE4" s="23">
        <v>1</v>
      </c>
      <c r="GF4" s="16">
        <v>1</v>
      </c>
      <c r="GG4" s="16">
        <f>MEDIAN(2,3,3,2,3,3,3,3)</f>
        <v>3</v>
      </c>
      <c r="GH4" s="16">
        <v>2</v>
      </c>
      <c r="GI4" s="16">
        <v>1</v>
      </c>
      <c r="GJ4" s="16">
        <v>0</v>
      </c>
      <c r="GK4" s="18">
        <f>SUM(GF4:GJ4)</f>
        <v>7</v>
      </c>
      <c r="GM4" s="23">
        <v>1</v>
      </c>
      <c r="GN4" s="9">
        <v>1</v>
      </c>
      <c r="GO4" s="16">
        <f>MEDIAN(2,2,3,3,3,2,3,2,2,3,2,2,3,2,3,3)</f>
        <v>2.5</v>
      </c>
      <c r="GP4" s="16">
        <v>2</v>
      </c>
      <c r="GQ4" s="16">
        <v>1</v>
      </c>
      <c r="GR4" s="16">
        <v>1</v>
      </c>
      <c r="GS4" s="18">
        <f>SUM(GN4:GR4)</f>
        <v>7.5</v>
      </c>
      <c r="GU4" s="20">
        <v>1</v>
      </c>
      <c r="GV4" s="16">
        <v>0</v>
      </c>
      <c r="GW4" s="16">
        <f>MEDIAN(3,3,3,3,3,3,3,3,3,3,3,2,2,3,3,3,3,3,3,3)</f>
        <v>3</v>
      </c>
      <c r="GX4" s="16">
        <v>2</v>
      </c>
      <c r="GY4" s="16">
        <v>3</v>
      </c>
      <c r="GZ4" s="16">
        <v>2</v>
      </c>
      <c r="HA4" s="18">
        <f>SUM(GV4:GZ4)</f>
        <v>10</v>
      </c>
      <c r="HC4" s="20">
        <v>1</v>
      </c>
      <c r="HD4" s="16">
        <v>0</v>
      </c>
      <c r="HE4" s="16">
        <f>MEDIAN(2,2,3,3,3,2,3,3,3,2,3,3,3,3,3,2,3,2,2)</f>
        <v>3</v>
      </c>
      <c r="HF4" s="16">
        <v>1</v>
      </c>
      <c r="HG4" s="17" t="s">
        <v>31</v>
      </c>
      <c r="HH4" s="16">
        <v>1</v>
      </c>
      <c r="HI4" s="18">
        <f>SUM(HD4:HH4)</f>
        <v>5</v>
      </c>
      <c r="HJ4">
        <f>HI4*(5/4)</f>
        <v>6.25</v>
      </c>
      <c r="HK4" s="20">
        <v>1</v>
      </c>
      <c r="HL4" s="16">
        <v>0</v>
      </c>
      <c r="HM4" s="16">
        <f>MEDIAN(3,3,3,2,3,2,3,3,2,3,3,3,3,2,3,2,2,3,3,3,3)</f>
        <v>3</v>
      </c>
      <c r="HN4" s="16">
        <v>2</v>
      </c>
      <c r="HO4" s="16">
        <v>3</v>
      </c>
      <c r="HP4" s="16">
        <v>2</v>
      </c>
      <c r="HQ4" s="18">
        <f>SUM(HL4:HP4)</f>
        <v>10</v>
      </c>
      <c r="HS4" s="23">
        <v>1</v>
      </c>
      <c r="HT4" s="16">
        <v>1</v>
      </c>
      <c r="HU4" s="16">
        <f>MEDIAN(3,3,2,3,3,2,0,3,3,2,3,3,3,2)</f>
        <v>3</v>
      </c>
      <c r="HV4" s="16">
        <v>2</v>
      </c>
      <c r="HW4" s="16">
        <v>1</v>
      </c>
      <c r="HX4" s="16">
        <v>1</v>
      </c>
      <c r="HY4" s="18">
        <f>SUM(HT4:HX4)</f>
        <v>8</v>
      </c>
      <c r="IA4" s="20">
        <v>1</v>
      </c>
      <c r="IB4" s="16">
        <v>0</v>
      </c>
      <c r="IC4" s="16">
        <f>MEDIAN(3,2,3,2,3,2,2,2,2,2,3,3,2,2,2,3,3,3,3,3,2,2,2,2,3,2,3,2)</f>
        <v>2</v>
      </c>
      <c r="ID4" s="16">
        <v>3</v>
      </c>
      <c r="IE4" s="16">
        <v>1</v>
      </c>
      <c r="IF4" s="16">
        <v>0</v>
      </c>
      <c r="IG4" s="18">
        <f>SUM(IB4:IF4)</f>
        <v>6</v>
      </c>
      <c r="II4" s="23">
        <v>1</v>
      </c>
      <c r="IJ4" s="16">
        <v>0</v>
      </c>
      <c r="IK4" s="16">
        <f>MEDIAN(2,2,3,2,3,2,1,2,3)</f>
        <v>2</v>
      </c>
      <c r="IL4" s="16">
        <v>2</v>
      </c>
      <c r="IM4" s="16">
        <v>1</v>
      </c>
      <c r="IN4" s="16">
        <v>2</v>
      </c>
      <c r="IO4" s="18">
        <f t="shared" ref="IO4:IO9" si="16">SUM(IJ4:IN4)</f>
        <v>7</v>
      </c>
      <c r="IQ4" s="23">
        <v>1</v>
      </c>
      <c r="IR4" s="16">
        <v>0</v>
      </c>
      <c r="IS4" s="16">
        <f>MEDIAN(3,3,3,2,2,3,3,3,3)</f>
        <v>3</v>
      </c>
      <c r="IT4" s="16">
        <v>1</v>
      </c>
      <c r="IU4" s="16">
        <v>1</v>
      </c>
      <c r="IV4" s="16">
        <v>0</v>
      </c>
      <c r="IW4" s="18">
        <f>SUM(IR4:IV4)</f>
        <v>5</v>
      </c>
      <c r="IY4" s="20">
        <v>1</v>
      </c>
      <c r="IZ4" s="16">
        <v>0</v>
      </c>
      <c r="JA4" s="16">
        <f>MEDIAN(3,2,3,3,3,2,3,2,3,3,3,2,2,3,3,3,3,3,2,3)</f>
        <v>3</v>
      </c>
      <c r="JB4" s="16">
        <v>3</v>
      </c>
      <c r="JC4" s="16">
        <v>0</v>
      </c>
      <c r="JD4" s="16">
        <v>1</v>
      </c>
      <c r="JE4" s="18">
        <f>SUM(IZ4:JD4)</f>
        <v>7</v>
      </c>
      <c r="JG4" s="20">
        <v>1</v>
      </c>
      <c r="JH4" s="16">
        <v>0</v>
      </c>
      <c r="JI4" s="16">
        <f>MEDIAN(3,3,3,2,3,3,2,3,3,3,3,3,3,2,2)</f>
        <v>3</v>
      </c>
      <c r="JJ4" s="16">
        <v>2</v>
      </c>
      <c r="JK4" s="16">
        <v>0</v>
      </c>
      <c r="JL4" s="16">
        <v>1</v>
      </c>
      <c r="JM4" s="18">
        <f>SUM(JH4:JL4)</f>
        <v>6</v>
      </c>
      <c r="JO4" s="23">
        <v>1</v>
      </c>
      <c r="JP4" s="16">
        <v>0</v>
      </c>
      <c r="JQ4" s="16">
        <f>MEDIAN(3,3,2,3,3,3,3,2,2,3,2,3,3,3,2)</f>
        <v>3</v>
      </c>
      <c r="JR4" s="16">
        <v>2</v>
      </c>
      <c r="JS4" s="16">
        <v>1</v>
      </c>
      <c r="JT4" s="16">
        <v>1</v>
      </c>
      <c r="JU4" s="18">
        <f>SUM(JP4:JT4)</f>
        <v>7</v>
      </c>
      <c r="JW4" s="23">
        <v>1</v>
      </c>
      <c r="JX4" s="16">
        <v>1</v>
      </c>
      <c r="JY4" s="16">
        <f>MEDIAN(3,3,3,3,3,3,3,3,3,3,3)</f>
        <v>3</v>
      </c>
      <c r="JZ4" s="16">
        <v>2</v>
      </c>
      <c r="KA4" s="16">
        <v>1</v>
      </c>
      <c r="KB4" s="16">
        <v>1</v>
      </c>
      <c r="KC4" s="18">
        <f>SUM(JX4:KB4)</f>
        <v>8</v>
      </c>
      <c r="KE4" s="23">
        <v>1</v>
      </c>
      <c r="KF4" s="16">
        <v>0</v>
      </c>
      <c r="KG4" s="16">
        <f>MEDIAN(3,3,2,3,2,2,3,2,2,2,2,3)</f>
        <v>2</v>
      </c>
      <c r="KH4" s="16">
        <v>1</v>
      </c>
      <c r="KI4" s="16">
        <v>1</v>
      </c>
      <c r="KJ4" s="16">
        <v>1</v>
      </c>
      <c r="KK4" s="18">
        <f>SUM(KF4:KJ4)</f>
        <v>5</v>
      </c>
      <c r="KM4" s="20">
        <v>1</v>
      </c>
      <c r="KN4" s="16">
        <v>0</v>
      </c>
      <c r="KO4" s="16">
        <f>MEDIAN(3,3,2,2,3,2,2,2,3,2,3,3,3,2,2,3,2,2)</f>
        <v>2</v>
      </c>
      <c r="KP4" s="16">
        <v>3</v>
      </c>
      <c r="KQ4" s="16">
        <v>0</v>
      </c>
      <c r="KR4" s="16">
        <v>2</v>
      </c>
      <c r="KS4" s="18">
        <f>SUM(KN4:KR4)</f>
        <v>7</v>
      </c>
      <c r="KU4" s="23">
        <v>1</v>
      </c>
      <c r="KV4" s="16">
        <v>0</v>
      </c>
      <c r="KW4" s="16">
        <f>MEDIAN(3,2,3,2,3,3,3,2,2,2,2,2,3,3,2,2,2,3,3,3,3,3,3)</f>
        <v>3</v>
      </c>
      <c r="KX4" s="16">
        <v>2</v>
      </c>
      <c r="KY4" s="16">
        <v>1</v>
      </c>
      <c r="KZ4" s="16">
        <v>1</v>
      </c>
      <c r="LA4" s="18">
        <f>SUM(KV4:KZ4)</f>
        <v>7</v>
      </c>
      <c r="LC4" s="20">
        <v>1</v>
      </c>
      <c r="LD4" s="16">
        <v>1</v>
      </c>
      <c r="LE4" s="16">
        <f>MEDIAN(3,2,2,2,3,3,3,2,3,3,3,3,3,3,3,2,3,3,2,2,2,3)</f>
        <v>3</v>
      </c>
      <c r="LF4" s="16">
        <v>2</v>
      </c>
      <c r="LG4" s="17">
        <v>3</v>
      </c>
      <c r="LH4" s="16">
        <v>3</v>
      </c>
      <c r="LI4" s="18">
        <f>SUM(LD4:LH4)</f>
        <v>12</v>
      </c>
      <c r="LK4" s="23">
        <v>1</v>
      </c>
      <c r="LL4" s="16">
        <v>0</v>
      </c>
      <c r="LM4" s="16">
        <f>MEDIAN(3,3,3,3)</f>
        <v>3</v>
      </c>
      <c r="LN4" s="16">
        <v>3</v>
      </c>
      <c r="LO4" s="16">
        <v>0</v>
      </c>
      <c r="LP4" s="16">
        <v>0</v>
      </c>
      <c r="LQ4" s="18">
        <f>SUM(LL4:LP4)</f>
        <v>6</v>
      </c>
    </row>
    <row r="5" spans="1:330" x14ac:dyDescent="0.35">
      <c r="A5" s="24">
        <v>2</v>
      </c>
      <c r="B5" s="25">
        <v>2</v>
      </c>
      <c r="C5" s="26">
        <f>MEDIAN(3,3,2,2,3,3,3,3,3,3,3,3,3,2,3,3,3,3,3,2,2,2,3,2)</f>
        <v>3</v>
      </c>
      <c r="D5" s="26">
        <v>2</v>
      </c>
      <c r="E5" s="26">
        <v>3</v>
      </c>
      <c r="F5" s="26">
        <v>3</v>
      </c>
      <c r="G5" s="27">
        <f t="shared" si="0"/>
        <v>13</v>
      </c>
      <c r="H5" s="14"/>
      <c r="J5" s="28">
        <v>2</v>
      </c>
      <c r="K5" s="25">
        <v>2</v>
      </c>
      <c r="L5" s="26">
        <f>MEDIAN(2,3,2,2,3,2,2,2,3,2,2,3,2)</f>
        <v>2</v>
      </c>
      <c r="M5" s="26">
        <v>3</v>
      </c>
      <c r="N5" s="26">
        <v>3</v>
      </c>
      <c r="O5" s="26">
        <v>2</v>
      </c>
      <c r="P5" s="27">
        <f t="shared" si="1"/>
        <v>12</v>
      </c>
      <c r="R5" s="29">
        <v>2</v>
      </c>
      <c r="S5" s="25">
        <v>2</v>
      </c>
      <c r="T5" s="26">
        <f>MEDIAN(3,3,3,3,3,2,3,3,3,3,3,2)</f>
        <v>3</v>
      </c>
      <c r="U5" s="26">
        <v>2</v>
      </c>
      <c r="V5" s="26">
        <v>3</v>
      </c>
      <c r="W5" s="26">
        <v>2</v>
      </c>
      <c r="X5" s="27">
        <f t="shared" si="2"/>
        <v>12</v>
      </c>
      <c r="Z5" s="30">
        <v>2</v>
      </c>
      <c r="AA5" s="25">
        <v>2</v>
      </c>
      <c r="AB5" s="26">
        <f>MEDIAN(3,2,3,3,2,2,3,2)</f>
        <v>2.5</v>
      </c>
      <c r="AC5" s="26">
        <v>1</v>
      </c>
      <c r="AD5" s="26" t="s">
        <v>31</v>
      </c>
      <c r="AE5" s="26">
        <v>1</v>
      </c>
      <c r="AF5" s="27">
        <f t="shared" si="3"/>
        <v>6.5</v>
      </c>
      <c r="AH5" s="29">
        <v>2</v>
      </c>
      <c r="AI5" s="25">
        <v>2</v>
      </c>
      <c r="AJ5" s="26">
        <f>MEDIAN(3,2,3,3,3,2,2,2,3,3,2,3,2,2,3,2,3)</f>
        <v>3</v>
      </c>
      <c r="AK5" s="26">
        <v>3</v>
      </c>
      <c r="AL5" s="26">
        <v>2</v>
      </c>
      <c r="AM5" s="26">
        <v>1</v>
      </c>
      <c r="AN5" s="27">
        <f t="shared" si="4"/>
        <v>11</v>
      </c>
      <c r="AP5" s="29">
        <v>2</v>
      </c>
      <c r="AQ5" s="25">
        <v>2</v>
      </c>
      <c r="AR5" s="26">
        <f>MEDIAN(1,2,2)</f>
        <v>2</v>
      </c>
      <c r="AS5" s="26">
        <v>3</v>
      </c>
      <c r="AT5" s="26">
        <v>3</v>
      </c>
      <c r="AU5" s="26">
        <v>3</v>
      </c>
      <c r="AV5" s="27">
        <f t="shared" si="5"/>
        <v>13</v>
      </c>
      <c r="AX5" s="29">
        <v>2</v>
      </c>
      <c r="AY5" s="25">
        <v>0</v>
      </c>
      <c r="AZ5" s="26">
        <f>MEDIAN(3,3,2,2,2,3,3,2)</f>
        <v>2.5</v>
      </c>
      <c r="BA5" s="26">
        <v>2</v>
      </c>
      <c r="BB5" s="26">
        <v>1</v>
      </c>
      <c r="BC5" s="26">
        <v>2</v>
      </c>
      <c r="BD5" s="27">
        <f t="shared" si="6"/>
        <v>7.5</v>
      </c>
      <c r="BF5" s="28">
        <v>2</v>
      </c>
      <c r="BG5" s="25">
        <v>0</v>
      </c>
      <c r="BH5" s="26">
        <f>MEDIAN(2,3,2,2,1,3,2)</f>
        <v>2</v>
      </c>
      <c r="BI5" s="26">
        <v>2</v>
      </c>
      <c r="BJ5" s="26">
        <v>0</v>
      </c>
      <c r="BK5" s="26">
        <v>1</v>
      </c>
      <c r="BL5" s="27">
        <f t="shared" si="7"/>
        <v>5</v>
      </c>
      <c r="BM5" s="14"/>
      <c r="BN5" s="28">
        <v>2</v>
      </c>
      <c r="BO5" s="25">
        <v>2</v>
      </c>
      <c r="BP5" s="26">
        <f>MEDIAN(3,2,3,3)</f>
        <v>3</v>
      </c>
      <c r="BQ5" s="26">
        <v>2</v>
      </c>
      <c r="BR5" s="26">
        <v>3</v>
      </c>
      <c r="BS5" s="26">
        <v>2</v>
      </c>
      <c r="BT5" s="27">
        <f>SUM(BO5:BS5)</f>
        <v>12</v>
      </c>
      <c r="BU5" s="14"/>
      <c r="BV5" s="29">
        <v>2</v>
      </c>
      <c r="BW5" s="25">
        <v>0</v>
      </c>
      <c r="BX5" s="26">
        <f>MEDIAN(3,1,1,1,2,2)</f>
        <v>1.5</v>
      </c>
      <c r="BY5" s="26">
        <v>2</v>
      </c>
      <c r="BZ5" s="26">
        <v>2</v>
      </c>
      <c r="CA5" s="26">
        <v>1</v>
      </c>
      <c r="CB5" s="27">
        <f t="shared" si="9"/>
        <v>6.5</v>
      </c>
      <c r="CC5" s="14"/>
      <c r="CD5" s="28">
        <v>2</v>
      </c>
      <c r="CE5" s="25">
        <v>1</v>
      </c>
      <c r="CF5" s="26">
        <f>MEDIAN(3,2,3,2,3,3,3,2,2,2,2)</f>
        <v>2</v>
      </c>
      <c r="CG5" s="26">
        <v>2</v>
      </c>
      <c r="CH5" s="26">
        <v>1</v>
      </c>
      <c r="CI5" s="26">
        <v>2</v>
      </c>
      <c r="CJ5" s="27">
        <f t="shared" si="10"/>
        <v>8</v>
      </c>
      <c r="CK5" s="14"/>
      <c r="CL5" s="28">
        <v>2</v>
      </c>
      <c r="CM5" s="25">
        <v>0</v>
      </c>
      <c r="CN5" s="26">
        <f>MEDIAN(2,2,2,2,2,3,3,2,2,3,3,2,2,2,2,3,3,2,2,3,3)</f>
        <v>2</v>
      </c>
      <c r="CO5" s="26">
        <v>2</v>
      </c>
      <c r="CP5" s="26">
        <v>2</v>
      </c>
      <c r="CQ5" s="26">
        <v>1</v>
      </c>
      <c r="CR5" s="27">
        <f t="shared" si="11"/>
        <v>7</v>
      </c>
      <c r="CT5" s="29">
        <v>2</v>
      </c>
      <c r="CU5" s="25">
        <v>0</v>
      </c>
      <c r="CV5" s="26">
        <f>MEDIAN(3,3,3,3,3,2,3,2,2,3,3)</f>
        <v>3</v>
      </c>
      <c r="CW5" s="26">
        <v>3</v>
      </c>
      <c r="CX5" s="26">
        <v>1</v>
      </c>
      <c r="CY5" s="26">
        <v>1</v>
      </c>
      <c r="CZ5" s="27">
        <f t="shared" si="12"/>
        <v>8</v>
      </c>
      <c r="DB5" s="30">
        <v>2</v>
      </c>
      <c r="DC5" s="25">
        <v>0</v>
      </c>
      <c r="DD5" s="26">
        <f>MEDIAN(3,3,2,3,3,3,3,2,3)</f>
        <v>3</v>
      </c>
      <c r="DE5" s="26">
        <v>3</v>
      </c>
      <c r="DF5" s="26">
        <v>1</v>
      </c>
      <c r="DG5" s="26">
        <v>1</v>
      </c>
      <c r="DH5" s="27">
        <f t="shared" si="13"/>
        <v>8</v>
      </c>
      <c r="DJ5" s="31">
        <v>2</v>
      </c>
      <c r="DK5" s="25">
        <v>0</v>
      </c>
      <c r="DL5" s="26">
        <f>MEDIAN(3,3)</f>
        <v>3</v>
      </c>
      <c r="DM5" s="26">
        <v>2</v>
      </c>
      <c r="DN5" s="26">
        <v>1</v>
      </c>
      <c r="DO5" s="26">
        <v>0</v>
      </c>
      <c r="DP5" s="27">
        <f t="shared" si="14"/>
        <v>6</v>
      </c>
      <c r="DQ5" s="14"/>
      <c r="DR5" s="30">
        <v>2</v>
      </c>
      <c r="DS5" s="25">
        <v>0</v>
      </c>
      <c r="DT5" s="26">
        <f>MEDIAN(2,3,3,3,3,3,3,3,3,3,2,3,3,3,3)</f>
        <v>3</v>
      </c>
      <c r="DU5" s="26">
        <v>2</v>
      </c>
      <c r="DV5" s="26">
        <v>1</v>
      </c>
      <c r="DW5" s="26">
        <v>0</v>
      </c>
      <c r="DX5" s="27">
        <f t="shared" si="15"/>
        <v>6</v>
      </c>
      <c r="DY5" s="14"/>
      <c r="EA5" s="28">
        <v>2</v>
      </c>
      <c r="EB5" s="26">
        <v>1</v>
      </c>
      <c r="EC5" s="32">
        <f>MEDIAN(2,3,2,2,2,3,3,3,3,2,3,3,2,2,3,3,2,2,2,3,3,3,2,3,3,3,3,3,2,2,2,2,3,3,3,3,2,2,3,2,2,3)</f>
        <v>3</v>
      </c>
      <c r="ED5" s="32">
        <v>2</v>
      </c>
      <c r="EE5" s="32">
        <v>2</v>
      </c>
      <c r="EF5" s="32">
        <v>1</v>
      </c>
      <c r="EG5" s="33">
        <f t="shared" ref="EG5:EG20" si="17">SUM(EB5:EF5)</f>
        <v>9</v>
      </c>
      <c r="EI5" s="34">
        <v>2</v>
      </c>
      <c r="EJ5" s="32">
        <v>0</v>
      </c>
      <c r="EK5" s="32">
        <f>MEDIAN(3,3,3,3,2,2,3,2,3,2)</f>
        <v>3</v>
      </c>
      <c r="EL5" s="32">
        <v>1</v>
      </c>
      <c r="EM5" s="32">
        <v>1</v>
      </c>
      <c r="EN5" s="32">
        <v>1</v>
      </c>
      <c r="EO5" s="33">
        <f t="shared" ref="EO5:EO28" si="18">SUM(EJ5:EN5)</f>
        <v>6</v>
      </c>
      <c r="EQ5" s="35">
        <v>2</v>
      </c>
      <c r="ER5" s="32">
        <v>2</v>
      </c>
      <c r="ES5" s="36" t="s">
        <v>31</v>
      </c>
      <c r="ET5" s="32">
        <v>1</v>
      </c>
      <c r="EU5" s="36" t="s">
        <v>31</v>
      </c>
      <c r="EV5" s="32">
        <v>1</v>
      </c>
      <c r="EW5" s="33">
        <f t="shared" ref="EW5:EW21" si="19">SUM(ER5:EV5)</f>
        <v>4</v>
      </c>
      <c r="EX5">
        <f>EW5*(5/3)</f>
        <v>6.666666666666667</v>
      </c>
      <c r="EY5" s="35">
        <v>2</v>
      </c>
      <c r="EZ5" s="32">
        <v>0</v>
      </c>
      <c r="FA5" s="32">
        <f>MEDIAN(3,3,2,3,3,2,2,3,3,3,3,3)</f>
        <v>3</v>
      </c>
      <c r="FB5" s="32">
        <v>2</v>
      </c>
      <c r="FC5" s="36">
        <v>2</v>
      </c>
      <c r="FD5" s="32">
        <v>1</v>
      </c>
      <c r="FE5" s="33">
        <f t="shared" ref="FE5:FE28" si="20">SUM(EZ5:FD5)</f>
        <v>8</v>
      </c>
      <c r="FG5" s="35">
        <v>2</v>
      </c>
      <c r="FH5" s="32">
        <v>0</v>
      </c>
      <c r="FI5" s="32">
        <f>MEDIAN(2,3,3,3,3,3,3,3,3,3,2,3,2,33,3,3,3,3,3,2,2,3,3,2,2,2,3,3,3,3,3)</f>
        <v>3</v>
      </c>
      <c r="FJ5" s="32">
        <v>1</v>
      </c>
      <c r="FK5" s="36">
        <v>2</v>
      </c>
      <c r="FL5" s="32">
        <v>1</v>
      </c>
      <c r="FM5" s="33">
        <f>SUM(FH5:FL5)</f>
        <v>7</v>
      </c>
      <c r="FO5" s="37">
        <v>2</v>
      </c>
      <c r="FP5" s="32">
        <v>0</v>
      </c>
      <c r="FQ5" s="32">
        <f>MEDIAN(3,3,3,3,2,3,2,3)</f>
        <v>3</v>
      </c>
      <c r="FR5" s="32">
        <v>3</v>
      </c>
      <c r="FS5" s="36">
        <v>1</v>
      </c>
      <c r="FT5" s="32">
        <v>0</v>
      </c>
      <c r="FU5" s="33">
        <f t="shared" ref="FU5:FU28" si="21">SUM(FP5:FT5)</f>
        <v>7</v>
      </c>
      <c r="FW5" s="34">
        <v>2</v>
      </c>
      <c r="FX5" s="32">
        <v>1</v>
      </c>
      <c r="FY5" s="32">
        <f>MEDIAN(3,2,3,3,3)</f>
        <v>3</v>
      </c>
      <c r="FZ5" s="32">
        <v>3</v>
      </c>
      <c r="GA5" s="32">
        <v>1</v>
      </c>
      <c r="GB5" s="32">
        <v>1</v>
      </c>
      <c r="GC5" s="33">
        <f t="shared" ref="GC5:GC28" si="22">SUM(FX5:GB5)</f>
        <v>9</v>
      </c>
      <c r="GE5" s="34">
        <v>2</v>
      </c>
      <c r="GF5" s="32">
        <v>0</v>
      </c>
      <c r="GG5" s="32">
        <f>MEDIAN(3,2,3,3,3,2,3)</f>
        <v>3</v>
      </c>
      <c r="GH5" s="32">
        <v>3</v>
      </c>
      <c r="GI5" s="32">
        <v>0</v>
      </c>
      <c r="GJ5" s="32">
        <v>1</v>
      </c>
      <c r="GK5" s="33">
        <f t="shared" ref="GK5:GK28" si="23">SUM(GF5:GJ5)</f>
        <v>7</v>
      </c>
      <c r="GM5" s="37">
        <v>2</v>
      </c>
      <c r="GN5" s="26">
        <v>1</v>
      </c>
      <c r="GO5" s="32">
        <f>MEDIAN(0,3,3,2,2,3,3,3,1,3,3,3,2,2)</f>
        <v>3</v>
      </c>
      <c r="GP5" s="32">
        <v>2</v>
      </c>
      <c r="GQ5" s="32">
        <v>0</v>
      </c>
      <c r="GR5" s="32">
        <v>1</v>
      </c>
      <c r="GS5" s="33">
        <f t="shared" ref="GS5:GS28" si="24">SUM(GN5:GR5)</f>
        <v>7</v>
      </c>
      <c r="GU5" s="34">
        <v>2</v>
      </c>
      <c r="GV5" s="32">
        <v>1</v>
      </c>
      <c r="GW5" s="32">
        <f>MEDIAN(3,3,3,3,3,3,3,3,3,3,3,3,3,3)</f>
        <v>3</v>
      </c>
      <c r="GX5" s="32">
        <v>1</v>
      </c>
      <c r="GY5" s="32">
        <v>2</v>
      </c>
      <c r="GZ5" s="32">
        <v>1</v>
      </c>
      <c r="HA5" s="33">
        <f t="shared" ref="HA5:HA28" si="25">SUM(GV5:GZ5)</f>
        <v>8</v>
      </c>
      <c r="HC5" s="34">
        <v>2</v>
      </c>
      <c r="HD5" s="32">
        <v>1</v>
      </c>
      <c r="HE5" s="32">
        <f>MEDIAN(3,3,2,3,2,3,3)</f>
        <v>3</v>
      </c>
      <c r="HF5" s="32">
        <v>3</v>
      </c>
      <c r="HG5" s="32">
        <v>3</v>
      </c>
      <c r="HH5" s="32">
        <v>1</v>
      </c>
      <c r="HI5" s="33">
        <f t="shared" ref="HI5:HI22" si="26">SUM(HD5:HH5)</f>
        <v>11</v>
      </c>
      <c r="HK5" s="34">
        <v>2</v>
      </c>
      <c r="HL5" s="32">
        <v>0</v>
      </c>
      <c r="HM5" s="32">
        <f>MEDIAN(3,2,3,3,3,2,3,3,3,2,3,3)</f>
        <v>3</v>
      </c>
      <c r="HN5" s="32">
        <v>1</v>
      </c>
      <c r="HO5" s="32">
        <v>0</v>
      </c>
      <c r="HP5" s="32">
        <v>0</v>
      </c>
      <c r="HQ5" s="33">
        <f t="shared" ref="HQ5:HQ15" si="27">SUM(HL5:HP5)</f>
        <v>4</v>
      </c>
      <c r="HS5" s="37">
        <v>2</v>
      </c>
      <c r="HT5" s="32">
        <v>1</v>
      </c>
      <c r="HU5" s="32">
        <f>MEDIAN(3,3,3,3,3,3,3,2,3,3,2,2,3,2)</f>
        <v>3</v>
      </c>
      <c r="HV5" s="32">
        <v>3</v>
      </c>
      <c r="HW5" s="32">
        <v>1</v>
      </c>
      <c r="HX5" s="32">
        <v>1</v>
      </c>
      <c r="HY5" s="33">
        <f t="shared" ref="HY5:HY28" si="28">SUM(HT5:HX5)</f>
        <v>9</v>
      </c>
      <c r="IA5" s="34">
        <v>2</v>
      </c>
      <c r="IB5" s="32">
        <v>0</v>
      </c>
      <c r="IC5" s="32">
        <f>MEDIAN(2,3,3,2,2,3,3,2,3,2,3,2,3,3,3,2,2,3,3,3,2,2,3)</f>
        <v>3</v>
      </c>
      <c r="ID5" s="32">
        <v>3</v>
      </c>
      <c r="IE5" s="32">
        <v>1</v>
      </c>
      <c r="IF5" s="32">
        <v>0</v>
      </c>
      <c r="IG5" s="33">
        <f t="shared" ref="IG5:IG28" si="29">SUM(IB5:IF5)</f>
        <v>7</v>
      </c>
      <c r="II5" s="38">
        <v>2</v>
      </c>
      <c r="IJ5" s="32">
        <v>0</v>
      </c>
      <c r="IK5" s="32">
        <f>MEDIAN(3,2,2,3,3,2,3,3,2,2,3,3,3,2,1,3,2,2,3,3,3,3,2,3,3,3)</f>
        <v>3</v>
      </c>
      <c r="IL5" s="32">
        <v>2</v>
      </c>
      <c r="IM5" s="32">
        <v>1</v>
      </c>
      <c r="IN5" s="32">
        <v>1</v>
      </c>
      <c r="IO5" s="33">
        <f t="shared" si="16"/>
        <v>7</v>
      </c>
      <c r="IQ5" s="37">
        <v>2</v>
      </c>
      <c r="IR5" s="32">
        <v>1</v>
      </c>
      <c r="IS5" s="32">
        <f>MEDIAN(2,3,3,3,2)</f>
        <v>3</v>
      </c>
      <c r="IT5" s="32">
        <v>2</v>
      </c>
      <c r="IU5" s="32">
        <v>1</v>
      </c>
      <c r="IV5" s="32">
        <v>2</v>
      </c>
      <c r="IW5" s="33">
        <f t="shared" ref="IW5:IW28" si="30">SUM(IR5:IV5)</f>
        <v>9</v>
      </c>
      <c r="IY5" s="34">
        <v>2</v>
      </c>
      <c r="IZ5" s="32">
        <v>0</v>
      </c>
      <c r="JA5" s="32">
        <f>MEDIAN(3,3,3,2,3,3,2,3,2,2,2,3,2,3,3,2,3,3,3,3,2,2,1,2,3)</f>
        <v>3</v>
      </c>
      <c r="JB5" s="32">
        <v>2</v>
      </c>
      <c r="JC5" s="32">
        <v>0</v>
      </c>
      <c r="JD5" s="32">
        <v>1</v>
      </c>
      <c r="JE5" s="33">
        <f t="shared" ref="JE5:JE28" si="31">SUM(IZ5:JD5)</f>
        <v>6</v>
      </c>
      <c r="JG5" s="34">
        <v>2</v>
      </c>
      <c r="JH5" s="32">
        <v>2</v>
      </c>
      <c r="JI5" s="32">
        <f>MEDIAN(3,3,3,3,3,2,3,3,2,3,3)</f>
        <v>3</v>
      </c>
      <c r="JJ5" s="32">
        <v>2</v>
      </c>
      <c r="JK5" s="32">
        <v>0</v>
      </c>
      <c r="JL5" s="32">
        <v>0</v>
      </c>
      <c r="JM5" s="33">
        <f t="shared" ref="JM5:JM17" si="32">SUM(JH5:JL5)</f>
        <v>7</v>
      </c>
      <c r="JO5" s="37">
        <v>2</v>
      </c>
      <c r="JP5" s="32">
        <v>1</v>
      </c>
      <c r="JQ5" s="32">
        <f>MEDIAN(3,2,2,3,3,3,2,2,3,3,2,3,1,3,2)</f>
        <v>3</v>
      </c>
      <c r="JR5" s="32">
        <v>1</v>
      </c>
      <c r="JS5" s="32">
        <v>1</v>
      </c>
      <c r="JT5" s="32">
        <v>2</v>
      </c>
      <c r="JU5" s="33">
        <f t="shared" ref="JU5:JU28" si="33">SUM(JP5:JT5)</f>
        <v>8</v>
      </c>
      <c r="JW5" s="39">
        <v>2</v>
      </c>
      <c r="JX5" s="32">
        <v>0</v>
      </c>
      <c r="JY5" s="32">
        <f>MEDIAN(3,3,3,3)</f>
        <v>3</v>
      </c>
      <c r="JZ5" s="32">
        <v>2</v>
      </c>
      <c r="KA5" s="32">
        <v>0</v>
      </c>
      <c r="KB5" s="32">
        <v>0</v>
      </c>
      <c r="KC5" s="33">
        <f t="shared" ref="KC5:KC28" si="34">SUM(JX5:KB5)</f>
        <v>5</v>
      </c>
      <c r="KE5" s="34">
        <v>2</v>
      </c>
      <c r="KF5" s="32">
        <v>0</v>
      </c>
      <c r="KG5" s="32">
        <f>MEDIAN(3,3,3,3,2,3,3,3,3,3,3,3,3,3,3,2,3,2,3,3,3,2,3,3,2,3,3,3,3,3,2,3,3,3)</f>
        <v>3</v>
      </c>
      <c r="KH5" s="32">
        <v>2</v>
      </c>
      <c r="KI5" s="32">
        <v>2</v>
      </c>
      <c r="KJ5" s="32">
        <v>1</v>
      </c>
      <c r="KK5" s="33">
        <f t="shared" ref="KK5:KK28" si="35">SUM(KF5:KJ5)</f>
        <v>8</v>
      </c>
      <c r="KM5" s="34">
        <v>2</v>
      </c>
      <c r="KN5" s="32">
        <v>0</v>
      </c>
      <c r="KO5" s="32">
        <f>MEDIAN(3,3,2,3,3,3,3,3,3,3)</f>
        <v>3</v>
      </c>
      <c r="KP5" s="32">
        <v>3</v>
      </c>
      <c r="KQ5" s="32">
        <v>0</v>
      </c>
      <c r="KR5" s="32">
        <v>1</v>
      </c>
      <c r="KS5" s="33">
        <f t="shared" ref="KS5:KS28" si="36">SUM(KN5:KR5)</f>
        <v>7</v>
      </c>
      <c r="KU5" s="37">
        <v>2</v>
      </c>
      <c r="KV5" s="32">
        <v>0</v>
      </c>
      <c r="KW5" s="32">
        <f>MEDIAN(3,3,3,3,3,3,3,3,3,2,2,3)</f>
        <v>3</v>
      </c>
      <c r="KX5" s="32">
        <v>2</v>
      </c>
      <c r="KY5" s="32">
        <v>0</v>
      </c>
      <c r="KZ5" s="32">
        <v>0</v>
      </c>
      <c r="LA5" s="33">
        <f t="shared" ref="LA5:LA28" si="37">SUM(KV5:KZ5)</f>
        <v>5</v>
      </c>
      <c r="LC5" s="34">
        <v>2</v>
      </c>
      <c r="LD5" s="32" t="s">
        <v>32</v>
      </c>
      <c r="LE5" s="32">
        <f>MEDIAN(3,3,3,3,3,3,2,3,3,3,3,3,2,1,2,2,3,3)</f>
        <v>3</v>
      </c>
      <c r="LF5" s="32">
        <v>1</v>
      </c>
      <c r="LG5" s="36" t="s">
        <v>31</v>
      </c>
      <c r="LH5" s="32">
        <v>3</v>
      </c>
      <c r="LI5" s="33">
        <f t="shared" ref="LI5:LI28" si="38">SUM(LD5:LH5)</f>
        <v>7</v>
      </c>
      <c r="LJ5">
        <f>LI5*(5/3)</f>
        <v>11.666666666666668</v>
      </c>
      <c r="LK5" s="37">
        <v>2</v>
      </c>
      <c r="LL5" s="32">
        <v>0</v>
      </c>
      <c r="LM5" s="32">
        <f>MEDIAN(3,3,3,3,3,3,3)</f>
        <v>3</v>
      </c>
      <c r="LN5" s="32">
        <v>3</v>
      </c>
      <c r="LO5" s="32">
        <v>1</v>
      </c>
      <c r="LP5" s="32">
        <v>2</v>
      </c>
      <c r="LQ5" s="33">
        <f t="shared" ref="LQ5:LQ16" si="39">SUM(LL5:LP5)</f>
        <v>9</v>
      </c>
    </row>
    <row r="6" spans="1:330" x14ac:dyDescent="0.35">
      <c r="A6" s="24">
        <v>3</v>
      </c>
      <c r="B6" s="25">
        <v>2</v>
      </c>
      <c r="C6" s="26">
        <f>MEDIAN(3,2,3,2,3,3,2,3,2,2,3,3,2,3,3,3,3)</f>
        <v>3</v>
      </c>
      <c r="D6" s="26">
        <v>2</v>
      </c>
      <c r="E6" s="26">
        <v>3</v>
      </c>
      <c r="F6" s="26">
        <v>3</v>
      </c>
      <c r="G6" s="27">
        <f t="shared" si="0"/>
        <v>13</v>
      </c>
      <c r="H6" s="14"/>
      <c r="J6" s="29">
        <v>3</v>
      </c>
      <c r="K6" s="25">
        <v>2</v>
      </c>
      <c r="L6" s="26">
        <f>MEDIAN(2,2,2,3,3,3,2,2,2,2,2,3)</f>
        <v>2</v>
      </c>
      <c r="M6" s="26">
        <v>2</v>
      </c>
      <c r="N6" s="26">
        <v>3</v>
      </c>
      <c r="O6" s="26">
        <v>2</v>
      </c>
      <c r="P6" s="27">
        <f t="shared" si="1"/>
        <v>11</v>
      </c>
      <c r="R6" s="29">
        <v>3</v>
      </c>
      <c r="S6" s="25">
        <v>2</v>
      </c>
      <c r="T6" s="26">
        <f>MEDIAN(3,2,2,3,3,3,2,3,2,2,3,2,3,2)</f>
        <v>2.5</v>
      </c>
      <c r="U6" s="26">
        <v>2</v>
      </c>
      <c r="V6" s="26">
        <v>2</v>
      </c>
      <c r="W6" s="26">
        <v>3</v>
      </c>
      <c r="X6" s="27">
        <f t="shared" si="2"/>
        <v>11.5</v>
      </c>
      <c r="Z6" s="28">
        <v>3</v>
      </c>
      <c r="AA6" s="25">
        <v>1</v>
      </c>
      <c r="AB6" s="26">
        <f>MEDIAN(3,2,2,2,2,2,2,2,2)</f>
        <v>2</v>
      </c>
      <c r="AC6" s="26">
        <v>1</v>
      </c>
      <c r="AD6" s="26" t="s">
        <v>31</v>
      </c>
      <c r="AE6" s="26">
        <v>1</v>
      </c>
      <c r="AF6" s="27">
        <f t="shared" si="3"/>
        <v>5</v>
      </c>
      <c r="AH6" s="29">
        <v>3</v>
      </c>
      <c r="AI6" s="25">
        <v>2</v>
      </c>
      <c r="AJ6" s="26">
        <f>MEDIAN(2,3,3,2,3,3,2)</f>
        <v>3</v>
      </c>
      <c r="AK6" s="26">
        <v>2</v>
      </c>
      <c r="AL6" s="26" t="s">
        <v>31</v>
      </c>
      <c r="AM6" s="26">
        <v>2</v>
      </c>
      <c r="AN6" s="27">
        <f t="shared" si="4"/>
        <v>9</v>
      </c>
      <c r="AP6" s="29">
        <v>3</v>
      </c>
      <c r="AQ6" s="25">
        <v>2</v>
      </c>
      <c r="AR6" s="26">
        <f>MEDIAN(2,3,3,2,2,2,2,3,2)</f>
        <v>2</v>
      </c>
      <c r="AS6" s="26">
        <v>3</v>
      </c>
      <c r="AT6" s="26">
        <v>3</v>
      </c>
      <c r="AU6" s="26">
        <v>3</v>
      </c>
      <c r="AV6" s="27">
        <f t="shared" si="5"/>
        <v>13</v>
      </c>
      <c r="AX6" s="30">
        <v>3</v>
      </c>
      <c r="AY6" s="25">
        <v>1</v>
      </c>
      <c r="AZ6" s="26">
        <f>MEDIAN(3,2,2,3,3,2,3)</f>
        <v>3</v>
      </c>
      <c r="BA6" s="26">
        <v>2</v>
      </c>
      <c r="BB6" s="26">
        <v>1</v>
      </c>
      <c r="BC6" s="26">
        <v>2</v>
      </c>
      <c r="BD6" s="27">
        <f t="shared" si="6"/>
        <v>9</v>
      </c>
      <c r="BF6" s="28">
        <v>3</v>
      </c>
      <c r="BG6" s="25">
        <v>0</v>
      </c>
      <c r="BH6" s="26">
        <f>MEDIAN(2,3,2,3,3,2,2,3,3,3,2,2,3)</f>
        <v>3</v>
      </c>
      <c r="BI6" s="26">
        <v>3</v>
      </c>
      <c r="BJ6" s="26">
        <v>0</v>
      </c>
      <c r="BK6" s="26">
        <v>1</v>
      </c>
      <c r="BL6" s="27">
        <f t="shared" si="7"/>
        <v>7</v>
      </c>
      <c r="BM6" s="14"/>
      <c r="BN6" s="28">
        <v>3</v>
      </c>
      <c r="BO6" s="25">
        <v>1</v>
      </c>
      <c r="BP6" s="26">
        <f>MEDIAN(3,2,3,2,3,3)</f>
        <v>3</v>
      </c>
      <c r="BQ6" s="26">
        <v>1</v>
      </c>
      <c r="BR6" s="26">
        <v>3</v>
      </c>
      <c r="BS6" s="26">
        <v>2</v>
      </c>
      <c r="BT6" s="27">
        <f t="shared" si="8"/>
        <v>10</v>
      </c>
      <c r="BU6" s="14"/>
      <c r="BV6" s="29">
        <v>3</v>
      </c>
      <c r="BW6" s="25">
        <v>1</v>
      </c>
      <c r="BX6" s="26">
        <f>MEDIAN(3,3,2,3,1,2,2,2,2,3)</f>
        <v>2</v>
      </c>
      <c r="BY6" s="26">
        <v>3</v>
      </c>
      <c r="BZ6" s="26">
        <v>3</v>
      </c>
      <c r="CA6" s="26">
        <v>1</v>
      </c>
      <c r="CB6" s="27">
        <f t="shared" si="9"/>
        <v>10</v>
      </c>
      <c r="CC6" s="14"/>
      <c r="CD6" s="28">
        <v>3</v>
      </c>
      <c r="CE6" s="25">
        <v>0</v>
      </c>
      <c r="CF6" s="26" t="s">
        <v>31</v>
      </c>
      <c r="CG6" s="26">
        <v>3</v>
      </c>
      <c r="CH6" s="26">
        <v>0</v>
      </c>
      <c r="CI6" s="26">
        <v>1</v>
      </c>
      <c r="CJ6" s="27">
        <f t="shared" si="10"/>
        <v>4</v>
      </c>
      <c r="CK6" s="14"/>
      <c r="CL6" s="28">
        <v>3</v>
      </c>
      <c r="CM6" s="25">
        <v>0</v>
      </c>
      <c r="CN6" s="26">
        <f>MEDIAN(2,3,3,3,2,2,2,3,3,3,3,3,2,2,3,2)</f>
        <v>3</v>
      </c>
      <c r="CO6" s="26">
        <v>3</v>
      </c>
      <c r="CP6" s="26">
        <v>2</v>
      </c>
      <c r="CQ6" s="26">
        <v>1</v>
      </c>
      <c r="CR6" s="27">
        <f t="shared" si="11"/>
        <v>9</v>
      </c>
      <c r="CT6" s="30">
        <v>3</v>
      </c>
      <c r="CU6" s="25">
        <v>0</v>
      </c>
      <c r="CV6" s="26">
        <f>MEDIAN(2,3,3,3,3,2,3,3,2)</f>
        <v>3</v>
      </c>
      <c r="CW6" s="26">
        <v>2</v>
      </c>
      <c r="CX6" s="26">
        <v>1</v>
      </c>
      <c r="CY6" s="26">
        <v>1</v>
      </c>
      <c r="CZ6" s="27">
        <f t="shared" si="12"/>
        <v>7</v>
      </c>
      <c r="DB6" s="30">
        <v>3</v>
      </c>
      <c r="DC6" s="25">
        <v>1</v>
      </c>
      <c r="DD6" s="26">
        <f>MEDIAN(2,3,3,3,3,3,3,3,3,3,3,3,3,3,3,2,3,3)</f>
        <v>3</v>
      </c>
      <c r="DE6" s="26">
        <v>2</v>
      </c>
      <c r="DF6" s="26">
        <v>1</v>
      </c>
      <c r="DG6" s="26">
        <v>1</v>
      </c>
      <c r="DH6" s="27">
        <f t="shared" si="13"/>
        <v>8</v>
      </c>
      <c r="DJ6" s="30">
        <v>3</v>
      </c>
      <c r="DK6" s="25">
        <v>1</v>
      </c>
      <c r="DL6" s="26">
        <f>MEDIAN(3,2,2)</f>
        <v>2</v>
      </c>
      <c r="DM6" s="26">
        <v>3</v>
      </c>
      <c r="DN6" s="26">
        <v>2</v>
      </c>
      <c r="DO6" s="26">
        <v>1</v>
      </c>
      <c r="DP6" s="27">
        <f t="shared" si="14"/>
        <v>9</v>
      </c>
      <c r="DQ6" s="14"/>
      <c r="DR6" s="30">
        <v>3</v>
      </c>
      <c r="DS6" s="25">
        <v>0</v>
      </c>
      <c r="DT6" s="26">
        <f>MEDIAN(2,2,1,3,3,2,3,3,2,2,2,3,2,2,3,2,1,2,2,3,2,2,2,1)</f>
        <v>2</v>
      </c>
      <c r="DU6" s="26">
        <v>3</v>
      </c>
      <c r="DV6" s="26">
        <v>0</v>
      </c>
      <c r="DW6" s="26">
        <v>1</v>
      </c>
      <c r="DX6" s="27">
        <f t="shared" si="15"/>
        <v>6</v>
      </c>
      <c r="DY6" s="14"/>
      <c r="EA6" s="28">
        <v>3</v>
      </c>
      <c r="EB6" s="26">
        <v>1</v>
      </c>
      <c r="EC6" s="32">
        <f>MEDIAN(3,2,3,3,2,2,3,2,3,2,2,2,3,3,2,2,2,3,2,2,2,2,2,3,3,2,3,3,2,2,2,3,3,2,3,3,3,3,3,2,2,2,3,3,3,3,3,3,2,1)</f>
        <v>2.5</v>
      </c>
      <c r="ED6" s="32">
        <v>2</v>
      </c>
      <c r="EE6" s="32">
        <v>2</v>
      </c>
      <c r="EF6" s="32">
        <v>1</v>
      </c>
      <c r="EG6" s="33">
        <f t="shared" si="17"/>
        <v>8.5</v>
      </c>
      <c r="EI6" s="34">
        <v>3</v>
      </c>
      <c r="EJ6" s="32">
        <v>0</v>
      </c>
      <c r="EK6" s="32">
        <f>MEDIAN(3,3,2,2,3,3,3,3,2)</f>
        <v>3</v>
      </c>
      <c r="EL6" s="32">
        <v>2</v>
      </c>
      <c r="EM6" s="36" t="s">
        <v>31</v>
      </c>
      <c r="EN6" s="32">
        <v>1</v>
      </c>
      <c r="EO6" s="33">
        <f t="shared" si="18"/>
        <v>6</v>
      </c>
      <c r="EP6">
        <f>EO6*(5/4)</f>
        <v>7.5</v>
      </c>
      <c r="EQ6" s="34">
        <v>3</v>
      </c>
      <c r="ER6" s="32">
        <v>1</v>
      </c>
      <c r="ES6" s="36">
        <f>MEDIAN(2,2,3,2)</f>
        <v>2</v>
      </c>
      <c r="ET6" s="32">
        <v>0</v>
      </c>
      <c r="EU6" s="36" t="s">
        <v>31</v>
      </c>
      <c r="EV6" s="32">
        <v>0</v>
      </c>
      <c r="EW6" s="33">
        <f t="shared" si="19"/>
        <v>3</v>
      </c>
      <c r="EX6">
        <f>EW6*(5/4)</f>
        <v>3.75</v>
      </c>
      <c r="EY6" s="34">
        <v>3</v>
      </c>
      <c r="EZ6" s="32">
        <v>0</v>
      </c>
      <c r="FA6" s="32">
        <f>MEDIAN(3,3,3,3,3,3,3,3,2,3,3,3,3,2,3,3,3,2,3,3,3,3,3,3,2,3,3,3,3,3,3,3,3,3,2,2,3)</f>
        <v>3</v>
      </c>
      <c r="FB6" s="32">
        <v>3</v>
      </c>
      <c r="FC6" s="36">
        <v>1</v>
      </c>
      <c r="FD6" s="32">
        <v>1</v>
      </c>
      <c r="FE6" s="33">
        <f t="shared" si="20"/>
        <v>8</v>
      </c>
      <c r="FG6" s="35">
        <v>3</v>
      </c>
      <c r="FH6" s="32">
        <v>3</v>
      </c>
      <c r="FI6" s="32">
        <f>MEDIAN(3,3,3,3,3,3,2,3,3,3,3,3,3,3,3,3)</f>
        <v>3</v>
      </c>
      <c r="FJ6" s="32">
        <v>1</v>
      </c>
      <c r="FK6" s="36">
        <v>1</v>
      </c>
      <c r="FL6" s="32">
        <v>2</v>
      </c>
      <c r="FM6" s="33">
        <f t="shared" ref="FM6:FM28" si="40">SUM(FH6:FL6)</f>
        <v>10</v>
      </c>
      <c r="FO6" s="39">
        <v>3</v>
      </c>
      <c r="FP6" s="32">
        <v>0</v>
      </c>
      <c r="FQ6" s="32">
        <f>MEDIAN(2,3,3,3,2,3,3,3,3,3,3,1,2,3,3,1,3,3)</f>
        <v>3</v>
      </c>
      <c r="FR6" s="32">
        <v>2</v>
      </c>
      <c r="FS6" s="36">
        <v>0</v>
      </c>
      <c r="FT6" s="32">
        <v>1</v>
      </c>
      <c r="FU6" s="33">
        <f t="shared" si="21"/>
        <v>6</v>
      </c>
      <c r="FW6" s="34">
        <v>3</v>
      </c>
      <c r="FX6" s="32">
        <v>1</v>
      </c>
      <c r="FY6" s="32">
        <f>MEDIAN(2,2,3,2,3,2,2,2,2,2,3,2,3,2,2,3,2,2,2,3,3,2,2,3,2,3,2,3,3)</f>
        <v>2</v>
      </c>
      <c r="FZ6" s="32">
        <v>3</v>
      </c>
      <c r="GA6" s="32">
        <v>1</v>
      </c>
      <c r="GB6" s="32">
        <v>0</v>
      </c>
      <c r="GC6" s="33">
        <f t="shared" si="22"/>
        <v>7</v>
      </c>
      <c r="GE6" s="34">
        <v>3</v>
      </c>
      <c r="GF6" s="32">
        <v>0</v>
      </c>
      <c r="GG6" s="32">
        <f>MEDIAN(3,3,3,3,3,3,2,3,3,3,2,3,3,3,3,3)</f>
        <v>3</v>
      </c>
      <c r="GH6" s="32">
        <v>2</v>
      </c>
      <c r="GI6" s="32">
        <v>0</v>
      </c>
      <c r="GJ6" s="32">
        <v>1</v>
      </c>
      <c r="GK6" s="33">
        <f t="shared" si="23"/>
        <v>6</v>
      </c>
      <c r="GM6" s="37">
        <v>3</v>
      </c>
      <c r="GN6" s="26">
        <v>0</v>
      </c>
      <c r="GO6" s="32">
        <f>MEDIAN(3,3,3,2,3,2,3,2,3,3,2,2)</f>
        <v>3</v>
      </c>
      <c r="GP6" s="32">
        <v>2</v>
      </c>
      <c r="GQ6" s="32">
        <v>1</v>
      </c>
      <c r="GR6" s="32">
        <v>0</v>
      </c>
      <c r="GS6" s="33">
        <f t="shared" si="24"/>
        <v>6</v>
      </c>
      <c r="GU6" s="34">
        <v>3</v>
      </c>
      <c r="GV6" s="32">
        <v>1</v>
      </c>
      <c r="GW6" s="32">
        <f>MEDIAN(3,3,3,3,2,3,3,3,3,3,3,3,2,2,1,2)</f>
        <v>3</v>
      </c>
      <c r="GX6" s="32">
        <v>2</v>
      </c>
      <c r="GY6" s="32">
        <v>2</v>
      </c>
      <c r="GZ6" s="32">
        <v>1</v>
      </c>
      <c r="HA6" s="33">
        <f t="shared" si="25"/>
        <v>9</v>
      </c>
      <c r="HC6" s="34">
        <v>3</v>
      </c>
      <c r="HD6" s="32">
        <v>1</v>
      </c>
      <c r="HE6" s="32">
        <f>MEDIAN(3,3,3,3,3,2,2,3,3,3,2)</f>
        <v>3</v>
      </c>
      <c r="HF6" s="32">
        <v>2</v>
      </c>
      <c r="HG6" s="36">
        <v>1</v>
      </c>
      <c r="HH6" s="32">
        <v>1</v>
      </c>
      <c r="HI6" s="33">
        <f t="shared" si="26"/>
        <v>8</v>
      </c>
      <c r="HK6" s="37">
        <v>3</v>
      </c>
      <c r="HL6" s="32">
        <v>0</v>
      </c>
      <c r="HM6" s="32">
        <f>MEDIAN(2,3,2,3,3,2,2,3,2,3)</f>
        <v>2.5</v>
      </c>
      <c r="HN6" s="32">
        <v>2</v>
      </c>
      <c r="HO6" s="32">
        <v>3</v>
      </c>
      <c r="HP6" s="32">
        <v>1</v>
      </c>
      <c r="HQ6" s="33">
        <f t="shared" si="27"/>
        <v>8.5</v>
      </c>
      <c r="HS6" s="35">
        <v>3</v>
      </c>
      <c r="HT6" s="32">
        <v>0</v>
      </c>
      <c r="HU6" s="32">
        <f>MEDIAN(3,3,2,3,3,3,2)</f>
        <v>3</v>
      </c>
      <c r="HV6" s="32">
        <v>2</v>
      </c>
      <c r="HW6" s="32">
        <v>1</v>
      </c>
      <c r="HX6" s="32">
        <v>0</v>
      </c>
      <c r="HY6" s="33">
        <f t="shared" si="28"/>
        <v>6</v>
      </c>
      <c r="IA6" s="34">
        <v>3</v>
      </c>
      <c r="IB6" s="32">
        <v>2</v>
      </c>
      <c r="IC6" s="32">
        <f>MEDIAN(3,3,3,3,3,3,3,3,3,3,2,2,2)</f>
        <v>3</v>
      </c>
      <c r="ID6" s="32">
        <v>3</v>
      </c>
      <c r="IE6" s="32">
        <v>2</v>
      </c>
      <c r="IF6" s="32">
        <v>2</v>
      </c>
      <c r="IG6" s="33">
        <f t="shared" si="29"/>
        <v>12</v>
      </c>
      <c r="II6" s="38">
        <v>3</v>
      </c>
      <c r="IJ6" s="32">
        <v>1</v>
      </c>
      <c r="IK6" s="32">
        <f>MEDIAN(2,2,2,3,2,3,2,2,3,2,3,3,2)</f>
        <v>2</v>
      </c>
      <c r="IL6" s="32">
        <v>3</v>
      </c>
      <c r="IM6" s="32">
        <v>1</v>
      </c>
      <c r="IN6" s="32">
        <v>1</v>
      </c>
      <c r="IO6" s="33">
        <f t="shared" si="16"/>
        <v>8</v>
      </c>
      <c r="IQ6" s="38">
        <v>3</v>
      </c>
      <c r="IR6" s="32">
        <v>0</v>
      </c>
      <c r="IS6" s="32">
        <f>MEDIAN(3,2,2,3,3,2,3,2,3)</f>
        <v>3</v>
      </c>
      <c r="IT6" s="32">
        <v>3</v>
      </c>
      <c r="IU6" s="32">
        <v>1</v>
      </c>
      <c r="IV6" s="32">
        <v>1</v>
      </c>
      <c r="IW6" s="33">
        <f t="shared" si="30"/>
        <v>8</v>
      </c>
      <c r="IY6" s="37">
        <v>3</v>
      </c>
      <c r="IZ6" s="32">
        <v>0</v>
      </c>
      <c r="JA6" s="32">
        <f>MEDIAN(3,3,3,3,3,3,3,3,3,3,2)</f>
        <v>3</v>
      </c>
      <c r="JB6" s="32">
        <v>2</v>
      </c>
      <c r="JC6" s="32">
        <v>1</v>
      </c>
      <c r="JD6" s="32">
        <v>1</v>
      </c>
      <c r="JE6" s="33">
        <f t="shared" si="31"/>
        <v>7</v>
      </c>
      <c r="JG6" s="34">
        <v>3</v>
      </c>
      <c r="JH6" s="32">
        <v>0</v>
      </c>
      <c r="JI6" s="32">
        <f>MEDIAN(2,2,3,3,3,3,3,3,3,2,3,3,3,3,3,3,3,3,3,3,3,3,3,)</f>
        <v>3</v>
      </c>
      <c r="JJ6" s="32">
        <v>2</v>
      </c>
      <c r="JK6" s="32">
        <v>0</v>
      </c>
      <c r="JL6" s="32">
        <v>1</v>
      </c>
      <c r="JM6" s="33">
        <f t="shared" si="32"/>
        <v>6</v>
      </c>
      <c r="JO6" s="37">
        <v>3</v>
      </c>
      <c r="JP6" s="32">
        <v>1</v>
      </c>
      <c r="JQ6" s="32">
        <f>MEDIAN(2,3,3,3,3,3,3,3,3,3,3,3,3,3,3,3,2,3,3,3,3)</f>
        <v>3</v>
      </c>
      <c r="JR6" s="32">
        <v>1</v>
      </c>
      <c r="JS6" s="32">
        <v>3</v>
      </c>
      <c r="JT6" s="32">
        <v>1</v>
      </c>
      <c r="JU6" s="33">
        <f t="shared" si="33"/>
        <v>9</v>
      </c>
      <c r="JW6" s="37">
        <v>3</v>
      </c>
      <c r="JX6" s="32">
        <v>0</v>
      </c>
      <c r="JY6" s="32">
        <f>MEDIAN(3,2,2,2,2,2,2,3,2,2,3,3,2,3,3)</f>
        <v>2</v>
      </c>
      <c r="JZ6" s="32">
        <v>2</v>
      </c>
      <c r="KA6" s="32">
        <v>1</v>
      </c>
      <c r="KB6" s="32">
        <v>1</v>
      </c>
      <c r="KC6" s="33">
        <f t="shared" si="34"/>
        <v>6</v>
      </c>
      <c r="KE6" s="37">
        <v>3</v>
      </c>
      <c r="KF6" s="32">
        <v>0</v>
      </c>
      <c r="KG6" s="32">
        <f>MEDIAN(3,3,3,3,3,3,3,2,3,3,2,2,2,3,3,3,3,3,3)</f>
        <v>3</v>
      </c>
      <c r="KH6" s="32">
        <v>2</v>
      </c>
      <c r="KI6" s="32">
        <v>0</v>
      </c>
      <c r="KJ6" s="32">
        <v>1</v>
      </c>
      <c r="KK6" s="33">
        <f t="shared" si="35"/>
        <v>6</v>
      </c>
      <c r="KM6" s="37">
        <v>3</v>
      </c>
      <c r="KN6" s="32">
        <v>0</v>
      </c>
      <c r="KO6" s="32">
        <f>MEDIAN(3,3,2,2,3,2,3,2,3,3,2,3,3,3,3,2,3,2,3,3,3)</f>
        <v>3</v>
      </c>
      <c r="KP6" s="32">
        <v>3</v>
      </c>
      <c r="KQ6" s="32">
        <v>1</v>
      </c>
      <c r="KR6" s="32">
        <v>1</v>
      </c>
      <c r="KS6" s="33">
        <f t="shared" si="36"/>
        <v>8</v>
      </c>
      <c r="KU6" s="37">
        <v>3</v>
      </c>
      <c r="KV6" s="32">
        <v>1</v>
      </c>
      <c r="KW6" s="32">
        <f>MEDIAN(2,3,2,3,3,3,3,2,2,3,2,3,3,3,3,3,3,3,3,2,2,3,3,3)</f>
        <v>3</v>
      </c>
      <c r="KX6" s="32">
        <v>2</v>
      </c>
      <c r="KY6" s="32">
        <v>0</v>
      </c>
      <c r="KZ6" s="32">
        <v>0</v>
      </c>
      <c r="LA6" s="33">
        <f t="shared" si="37"/>
        <v>6</v>
      </c>
      <c r="LC6" s="34">
        <v>3</v>
      </c>
      <c r="LD6" s="32">
        <v>2</v>
      </c>
      <c r="LE6" s="32">
        <f>MEDIAN(3,2,2,3,3,2,2,2,3,3,2,3,3,3,3,3,2,3)</f>
        <v>3</v>
      </c>
      <c r="LF6" s="32">
        <v>1</v>
      </c>
      <c r="LG6" s="32">
        <v>3</v>
      </c>
      <c r="LH6" s="32">
        <v>2</v>
      </c>
      <c r="LI6" s="33">
        <f t="shared" si="38"/>
        <v>11</v>
      </c>
      <c r="LK6" s="37">
        <v>3</v>
      </c>
      <c r="LL6" s="32">
        <v>0</v>
      </c>
      <c r="LM6" s="32">
        <f>MEDIAN(3,3,2,3,3,2,2,3,3)</f>
        <v>3</v>
      </c>
      <c r="LN6" s="32">
        <v>2</v>
      </c>
      <c r="LO6" s="32">
        <v>0</v>
      </c>
      <c r="LP6" s="32">
        <v>0</v>
      </c>
      <c r="LQ6" s="33">
        <f t="shared" si="39"/>
        <v>5</v>
      </c>
    </row>
    <row r="7" spans="1:330" x14ac:dyDescent="0.35">
      <c r="A7" s="28">
        <v>4</v>
      </c>
      <c r="B7" s="25">
        <v>1</v>
      </c>
      <c r="C7" s="26">
        <f>MEDIAN(3,3,2,2,2,3,3,2,2,3,3,2,2,2,3,3,3)</f>
        <v>3</v>
      </c>
      <c r="D7" s="26">
        <v>2</v>
      </c>
      <c r="E7" s="26" t="s">
        <v>31</v>
      </c>
      <c r="F7" s="26">
        <v>3</v>
      </c>
      <c r="G7" s="27">
        <f t="shared" si="0"/>
        <v>9</v>
      </c>
      <c r="H7" s="14"/>
      <c r="J7" s="28">
        <v>4</v>
      </c>
      <c r="K7" s="25">
        <v>1</v>
      </c>
      <c r="L7" s="26">
        <f>MEDIAN(3,3,2,3,2,2,3,3,3,3,2,3)</f>
        <v>3</v>
      </c>
      <c r="M7" s="26">
        <v>2</v>
      </c>
      <c r="N7" s="26">
        <v>3</v>
      </c>
      <c r="O7" s="26">
        <v>1</v>
      </c>
      <c r="P7" s="27">
        <f t="shared" si="1"/>
        <v>10</v>
      </c>
      <c r="R7" s="30">
        <v>4</v>
      </c>
      <c r="S7" s="25">
        <v>1</v>
      </c>
      <c r="T7" s="26">
        <f>MEDIAN(2,2,2,3,3,3,3,3,2,3,2,3)</f>
        <v>3</v>
      </c>
      <c r="U7" s="26">
        <v>3</v>
      </c>
      <c r="V7" s="26">
        <v>2</v>
      </c>
      <c r="W7" s="26">
        <v>1</v>
      </c>
      <c r="X7" s="27">
        <f t="shared" si="2"/>
        <v>10</v>
      </c>
      <c r="Z7" s="28">
        <v>4</v>
      </c>
      <c r="AA7" s="25">
        <v>2</v>
      </c>
      <c r="AB7" s="26">
        <f>MEDIAN(2,2,2,3,2,2,2,3)</f>
        <v>2</v>
      </c>
      <c r="AC7" s="26">
        <v>2</v>
      </c>
      <c r="AD7" s="26">
        <v>3</v>
      </c>
      <c r="AE7" s="26">
        <v>1</v>
      </c>
      <c r="AF7" s="27">
        <f t="shared" si="3"/>
        <v>10</v>
      </c>
      <c r="AH7" s="29">
        <v>4</v>
      </c>
      <c r="AI7" s="25">
        <v>2</v>
      </c>
      <c r="AJ7" s="26">
        <f>MEDIAN(3,3,2,3,3,3,2,3,2,2,3,2)</f>
        <v>3</v>
      </c>
      <c r="AK7" s="26">
        <v>2</v>
      </c>
      <c r="AL7" s="26" t="s">
        <v>31</v>
      </c>
      <c r="AM7" s="26">
        <v>2</v>
      </c>
      <c r="AN7" s="27">
        <f t="shared" si="4"/>
        <v>9</v>
      </c>
      <c r="AP7" s="29">
        <v>4</v>
      </c>
      <c r="AQ7" s="25">
        <v>1</v>
      </c>
      <c r="AR7" s="26">
        <f>MEDIAN(3,2,2,2,1)</f>
        <v>2</v>
      </c>
      <c r="AS7" s="26">
        <v>3</v>
      </c>
      <c r="AT7" s="26">
        <v>3</v>
      </c>
      <c r="AU7" s="26">
        <v>3</v>
      </c>
      <c r="AV7" s="27">
        <f t="shared" si="5"/>
        <v>12</v>
      </c>
      <c r="AX7" s="30">
        <v>4</v>
      </c>
      <c r="AY7" s="25">
        <v>2</v>
      </c>
      <c r="AZ7" s="26">
        <f>MEDIAN(3,3,2,3,3,3,3,3,2,3,2,3,3,3,3,3,3)</f>
        <v>3</v>
      </c>
      <c r="BA7" s="26">
        <v>1</v>
      </c>
      <c r="BB7" s="26">
        <v>1</v>
      </c>
      <c r="BC7" s="26">
        <v>1</v>
      </c>
      <c r="BD7" s="27">
        <f t="shared" si="6"/>
        <v>8</v>
      </c>
      <c r="BF7" s="28">
        <v>4</v>
      </c>
      <c r="BG7" s="25">
        <v>0</v>
      </c>
      <c r="BH7" s="26">
        <f>MEDIAN(2,3,3,3,3,3,3,3,2,3,2,2,2,3,2,2)</f>
        <v>3</v>
      </c>
      <c r="BI7" s="26">
        <v>2</v>
      </c>
      <c r="BJ7" s="26">
        <v>1</v>
      </c>
      <c r="BK7" s="26">
        <v>0</v>
      </c>
      <c r="BL7" s="27">
        <f t="shared" si="7"/>
        <v>6</v>
      </c>
      <c r="BM7" s="14"/>
      <c r="BN7" s="28">
        <v>4</v>
      </c>
      <c r="BO7" s="25">
        <v>1</v>
      </c>
      <c r="BP7" s="26">
        <f>MEDIAN(2,3,3,3,3,3,3)</f>
        <v>3</v>
      </c>
      <c r="BQ7" s="26">
        <v>2</v>
      </c>
      <c r="BR7" s="26">
        <v>3</v>
      </c>
      <c r="BS7" s="26">
        <v>3</v>
      </c>
      <c r="BT7" s="27">
        <f t="shared" si="8"/>
        <v>12</v>
      </c>
      <c r="BU7" s="14"/>
      <c r="BV7" s="40">
        <v>4</v>
      </c>
      <c r="BW7" s="25">
        <v>0</v>
      </c>
      <c r="BX7" s="26">
        <f>MEDIAN(2,2,2,2,2,2,1,2,2,2,1,2,2,1)</f>
        <v>2</v>
      </c>
      <c r="BY7" s="26">
        <v>2</v>
      </c>
      <c r="BZ7" s="26">
        <v>2</v>
      </c>
      <c r="CA7" s="26">
        <v>2</v>
      </c>
      <c r="CB7" s="27">
        <f t="shared" si="9"/>
        <v>8</v>
      </c>
      <c r="CC7" s="14"/>
      <c r="CD7" s="24">
        <v>4</v>
      </c>
      <c r="CE7" s="25">
        <v>0</v>
      </c>
      <c r="CF7" s="26">
        <f>MEDIAN(3,3,2,2,3,3,2)</f>
        <v>3</v>
      </c>
      <c r="CG7" s="26">
        <v>3</v>
      </c>
      <c r="CH7" s="26" t="s">
        <v>31</v>
      </c>
      <c r="CI7" s="26">
        <v>3</v>
      </c>
      <c r="CJ7" s="27">
        <f t="shared" si="10"/>
        <v>9</v>
      </c>
      <c r="CK7" s="14"/>
      <c r="CL7" s="30">
        <v>4</v>
      </c>
      <c r="CM7" s="25">
        <v>1</v>
      </c>
      <c r="CN7" s="26">
        <f>MEDIAN(3,3,3,2,2,2,3,1,2,1,1)</f>
        <v>2</v>
      </c>
      <c r="CO7" s="26">
        <v>2</v>
      </c>
      <c r="CP7" s="26">
        <v>3</v>
      </c>
      <c r="CQ7" s="26">
        <v>1</v>
      </c>
      <c r="CR7" s="27">
        <f t="shared" si="11"/>
        <v>9</v>
      </c>
      <c r="CT7" s="29">
        <v>4</v>
      </c>
      <c r="CU7" s="25">
        <v>1</v>
      </c>
      <c r="CV7" s="26">
        <f>MEDIAN(2,3,3,3,3,3,3,3,3,3,3)</f>
        <v>3</v>
      </c>
      <c r="CW7" s="26">
        <v>2</v>
      </c>
      <c r="CX7" s="26">
        <v>2</v>
      </c>
      <c r="CY7" s="26">
        <v>1</v>
      </c>
      <c r="CZ7" s="27">
        <f t="shared" si="12"/>
        <v>9</v>
      </c>
      <c r="DB7" s="30">
        <v>4</v>
      </c>
      <c r="DC7" s="25">
        <v>0</v>
      </c>
      <c r="DD7" s="26">
        <f>MEDIAN(3,3,3,3,3,3,3,2,3,3,3,2,3,3,2,3)</f>
        <v>3</v>
      </c>
      <c r="DE7" s="26">
        <v>3</v>
      </c>
      <c r="DF7" s="26">
        <v>0</v>
      </c>
      <c r="DG7" s="26">
        <v>1</v>
      </c>
      <c r="DH7" s="27">
        <f t="shared" si="13"/>
        <v>7</v>
      </c>
      <c r="DJ7" s="30">
        <v>4</v>
      </c>
      <c r="DK7" s="25">
        <v>1</v>
      </c>
      <c r="DL7" s="26">
        <f>MEDIAN(3,3,2,3,3,3,3,3)</f>
        <v>3</v>
      </c>
      <c r="DM7" s="26">
        <v>1</v>
      </c>
      <c r="DN7" s="26">
        <v>1</v>
      </c>
      <c r="DO7" s="26">
        <v>1</v>
      </c>
      <c r="DP7" s="27">
        <f t="shared" si="14"/>
        <v>7</v>
      </c>
      <c r="DQ7" s="14"/>
      <c r="DR7" s="30">
        <v>4</v>
      </c>
      <c r="DS7" s="25">
        <v>0</v>
      </c>
      <c r="DT7" s="26">
        <f>MEDIAN(3,3,3,2,3,3,3,3,3,3)</f>
        <v>3</v>
      </c>
      <c r="DU7" s="26">
        <v>3</v>
      </c>
      <c r="DV7" s="26">
        <v>0</v>
      </c>
      <c r="DW7" s="26">
        <v>1</v>
      </c>
      <c r="DX7" s="27">
        <f t="shared" si="15"/>
        <v>7</v>
      </c>
      <c r="DY7" s="14"/>
      <c r="EA7" s="28">
        <v>4</v>
      </c>
      <c r="EB7" s="41">
        <v>0</v>
      </c>
      <c r="EC7" s="41">
        <f>MEDIAN(3,2,1,3,2,2,3,3,3,3,2,1,2)</f>
        <v>2</v>
      </c>
      <c r="ED7" s="41">
        <v>3</v>
      </c>
      <c r="EE7" s="41">
        <v>1</v>
      </c>
      <c r="EF7" s="41">
        <v>1</v>
      </c>
      <c r="EG7" s="33">
        <f t="shared" si="17"/>
        <v>7</v>
      </c>
      <c r="EI7" s="34">
        <v>4</v>
      </c>
      <c r="EJ7" s="32">
        <v>0</v>
      </c>
      <c r="EK7" s="32">
        <f>MEDIAN(3,3,3,3,3,3,3,2,2,2)</f>
        <v>3</v>
      </c>
      <c r="EL7" s="32">
        <v>3</v>
      </c>
      <c r="EM7" s="32">
        <v>1</v>
      </c>
      <c r="EN7" s="32">
        <v>1</v>
      </c>
      <c r="EO7" s="33">
        <f t="shared" si="18"/>
        <v>8</v>
      </c>
      <c r="EQ7" s="34">
        <v>4</v>
      </c>
      <c r="ER7" s="32">
        <v>1</v>
      </c>
      <c r="ES7" s="36" t="s">
        <v>31</v>
      </c>
      <c r="ET7" s="32">
        <v>1</v>
      </c>
      <c r="EU7" s="36" t="s">
        <v>31</v>
      </c>
      <c r="EV7" s="32">
        <v>0</v>
      </c>
      <c r="EW7" s="33">
        <f t="shared" si="19"/>
        <v>2</v>
      </c>
      <c r="EX7">
        <f>EW7*(5/3)</f>
        <v>3.3333333333333335</v>
      </c>
      <c r="EY7" s="34">
        <v>4</v>
      </c>
      <c r="EZ7" s="32">
        <v>0</v>
      </c>
      <c r="FA7" s="32">
        <f>MEDIAN(2,2,3,3,2,3,3,2,3,3,)</f>
        <v>3</v>
      </c>
      <c r="FB7" s="32">
        <v>3</v>
      </c>
      <c r="FC7" s="36">
        <v>1</v>
      </c>
      <c r="FD7" s="32">
        <v>1</v>
      </c>
      <c r="FE7" s="33">
        <f t="shared" si="20"/>
        <v>8</v>
      </c>
      <c r="FG7" s="37">
        <v>4</v>
      </c>
      <c r="FH7" s="32">
        <v>0</v>
      </c>
      <c r="FI7" s="32">
        <f>MEDIAN(3,3,3,2,3,3,3,3,3,2,3,2)</f>
        <v>3</v>
      </c>
      <c r="FJ7" s="32">
        <v>2</v>
      </c>
      <c r="FK7" s="36">
        <v>1</v>
      </c>
      <c r="FL7" s="32">
        <v>1</v>
      </c>
      <c r="FM7" s="33">
        <f t="shared" si="40"/>
        <v>7</v>
      </c>
      <c r="FO7" s="37">
        <v>4</v>
      </c>
      <c r="FP7" s="32">
        <v>0</v>
      </c>
      <c r="FQ7" s="32">
        <f>MEDIAN(3,3,3,3,3,3)</f>
        <v>3</v>
      </c>
      <c r="FR7" s="32">
        <v>2</v>
      </c>
      <c r="FS7" s="36">
        <v>2</v>
      </c>
      <c r="FT7" s="32">
        <v>1</v>
      </c>
      <c r="FU7" s="33">
        <f t="shared" si="21"/>
        <v>8</v>
      </c>
      <c r="FW7" s="42">
        <v>4</v>
      </c>
      <c r="FX7" s="43"/>
      <c r="FY7" s="43"/>
      <c r="FZ7" s="43"/>
      <c r="GA7" s="43"/>
      <c r="GB7" s="43"/>
      <c r="GC7" s="44"/>
      <c r="GE7" s="42">
        <v>4</v>
      </c>
      <c r="GF7" s="43"/>
      <c r="GG7" s="43"/>
      <c r="GH7" s="43"/>
      <c r="GI7" s="43"/>
      <c r="GJ7" s="43"/>
      <c r="GK7" s="44"/>
      <c r="GM7" s="37">
        <v>4</v>
      </c>
      <c r="GN7" s="26">
        <v>1</v>
      </c>
      <c r="GO7" s="32">
        <f>MEDIAN(2,3,3,3,2,2,3)</f>
        <v>3</v>
      </c>
      <c r="GP7" s="32">
        <v>2</v>
      </c>
      <c r="GQ7" s="32">
        <v>1</v>
      </c>
      <c r="GR7" s="32">
        <v>0</v>
      </c>
      <c r="GS7" s="33">
        <f t="shared" si="24"/>
        <v>7</v>
      </c>
      <c r="GU7" s="34">
        <v>4</v>
      </c>
      <c r="GV7" s="32">
        <v>1</v>
      </c>
      <c r="GW7" s="32">
        <f>MEDIAN(3,3,2,3,2,3,2,3,3,3,3,3,2,3,2,2,3,3)</f>
        <v>3</v>
      </c>
      <c r="GX7" s="32">
        <v>2</v>
      </c>
      <c r="GY7" s="32">
        <v>1</v>
      </c>
      <c r="GZ7" s="32">
        <v>1</v>
      </c>
      <c r="HA7" s="33">
        <f t="shared" si="25"/>
        <v>8</v>
      </c>
      <c r="HC7" s="34">
        <v>4</v>
      </c>
      <c r="HD7" s="32">
        <v>1</v>
      </c>
      <c r="HE7" s="32">
        <f>MEDIAN(3,3,3,3,2,3,3,3,2,3)</f>
        <v>3</v>
      </c>
      <c r="HF7" s="32">
        <v>0</v>
      </c>
      <c r="HG7" s="36" t="s">
        <v>31</v>
      </c>
      <c r="HH7" s="32">
        <v>0</v>
      </c>
      <c r="HI7" s="33">
        <f t="shared" si="26"/>
        <v>4</v>
      </c>
      <c r="HJ7">
        <f>HI7*(5/4)</f>
        <v>5</v>
      </c>
      <c r="HK7" s="34">
        <v>4</v>
      </c>
      <c r="HL7" s="32">
        <v>0</v>
      </c>
      <c r="HM7" s="32">
        <f>MEDIAN(3,3,3,3,2,3,3,2,2,3,2,3,3,3,2,3)</f>
        <v>3</v>
      </c>
      <c r="HN7" s="32">
        <v>2</v>
      </c>
      <c r="HO7" s="32">
        <v>0</v>
      </c>
      <c r="HP7" s="32">
        <v>1</v>
      </c>
      <c r="HQ7" s="33">
        <f t="shared" si="27"/>
        <v>6</v>
      </c>
      <c r="HS7" s="35">
        <v>4</v>
      </c>
      <c r="HT7" s="32">
        <v>0</v>
      </c>
      <c r="HU7" s="32">
        <f>MEDIAN(3,3,3,2,3,2,3,3,2,2,3,3,2,3,3,3,3,3,2,2,3)</f>
        <v>3</v>
      </c>
      <c r="HV7" s="32">
        <v>3</v>
      </c>
      <c r="HW7" s="32">
        <v>2</v>
      </c>
      <c r="HX7" s="32">
        <v>1</v>
      </c>
      <c r="HY7" s="33">
        <f t="shared" si="28"/>
        <v>9</v>
      </c>
      <c r="IA7" s="34">
        <v>4</v>
      </c>
      <c r="IB7" s="32">
        <v>2</v>
      </c>
      <c r="IC7" s="32">
        <f>MEDIAN(3,3,2,2,2,3,2,3,3,3,3,2,3,3,3,3,2)</f>
        <v>3</v>
      </c>
      <c r="ID7" s="32">
        <v>2</v>
      </c>
      <c r="IE7" s="32">
        <v>2</v>
      </c>
      <c r="IF7" s="32">
        <v>1</v>
      </c>
      <c r="IG7" s="33">
        <f t="shared" si="29"/>
        <v>10</v>
      </c>
      <c r="II7" s="38">
        <v>4</v>
      </c>
      <c r="IJ7" s="32">
        <v>0</v>
      </c>
      <c r="IK7" s="32">
        <f>MEDIAN(2,3,2,3,2,2,2,2,3,2,2,2,2,2,3)</f>
        <v>2</v>
      </c>
      <c r="IL7" s="32">
        <v>3</v>
      </c>
      <c r="IM7" s="32">
        <v>1</v>
      </c>
      <c r="IN7" s="32">
        <v>1</v>
      </c>
      <c r="IO7" s="33">
        <f t="shared" si="16"/>
        <v>7</v>
      </c>
      <c r="IQ7" s="34">
        <v>4</v>
      </c>
      <c r="IR7" s="32">
        <v>0</v>
      </c>
      <c r="IS7" s="32">
        <f>MEDIAN(3,2,3,3,3,2,2)</f>
        <v>3</v>
      </c>
      <c r="IT7" s="32">
        <v>2</v>
      </c>
      <c r="IU7" s="32">
        <v>0</v>
      </c>
      <c r="IV7" s="32">
        <v>0</v>
      </c>
      <c r="IW7" s="33">
        <f t="shared" si="30"/>
        <v>5</v>
      </c>
      <c r="IY7" s="34">
        <v>4</v>
      </c>
      <c r="IZ7" s="32">
        <v>0</v>
      </c>
      <c r="JA7" s="32">
        <f>MEDIAN(0,1,3,2,3,2,3,2,3,2,3,3,2,3)</f>
        <v>2.5</v>
      </c>
      <c r="JB7" s="32">
        <v>2</v>
      </c>
      <c r="JC7" s="32">
        <v>0</v>
      </c>
      <c r="JD7" s="32">
        <v>0</v>
      </c>
      <c r="JE7" s="33">
        <f t="shared" si="31"/>
        <v>4.5</v>
      </c>
      <c r="JG7" s="34">
        <v>4</v>
      </c>
      <c r="JH7" s="32">
        <v>1</v>
      </c>
      <c r="JI7" s="32">
        <f>MEDIAN(3,3,3,3,3,3,3,3)</f>
        <v>3</v>
      </c>
      <c r="JJ7" s="32">
        <v>1</v>
      </c>
      <c r="JK7" s="32">
        <v>0</v>
      </c>
      <c r="JL7" s="32">
        <v>1</v>
      </c>
      <c r="JM7" s="33">
        <f t="shared" si="32"/>
        <v>6</v>
      </c>
      <c r="JO7" s="34">
        <v>4</v>
      </c>
      <c r="JP7" s="32">
        <v>1</v>
      </c>
      <c r="JQ7" s="32">
        <f>MEDIAN(2,3,2,3,3,3,3,2,3,3,3,3,3,3,2,2,3,2,2,3,3,3,3,3,2,3,2,3)</f>
        <v>3</v>
      </c>
      <c r="JR7" s="32">
        <v>1</v>
      </c>
      <c r="JS7" s="32">
        <v>1</v>
      </c>
      <c r="JT7" s="32">
        <v>1</v>
      </c>
      <c r="JU7" s="33">
        <f t="shared" si="33"/>
        <v>7</v>
      </c>
      <c r="JW7" s="34">
        <v>4</v>
      </c>
      <c r="JX7" s="32">
        <v>0</v>
      </c>
      <c r="JY7" s="32">
        <f>MEDIAN(2,3,3,3,3,2,2,2,3,3,3,3,3,2,3,3,3)</f>
        <v>3</v>
      </c>
      <c r="JZ7" s="32">
        <v>2</v>
      </c>
      <c r="KA7" s="32">
        <v>0</v>
      </c>
      <c r="KB7" s="32">
        <v>0</v>
      </c>
      <c r="KC7" s="33">
        <f t="shared" si="34"/>
        <v>5</v>
      </c>
      <c r="KE7" s="34">
        <v>4</v>
      </c>
      <c r="KF7" s="32">
        <v>0</v>
      </c>
      <c r="KG7" s="32">
        <f>MEDIAN(3,2,2,2,3,2,2,3,2,3,3,3,2,2,2,3,2,2,2,3,2,2,2,3,3,3,2,2,2,3,2,3,2,3,3)</f>
        <v>2</v>
      </c>
      <c r="KH7" s="32">
        <v>2</v>
      </c>
      <c r="KI7" s="32">
        <v>2</v>
      </c>
      <c r="KJ7" s="32">
        <v>1</v>
      </c>
      <c r="KK7" s="33">
        <f t="shared" si="35"/>
        <v>7</v>
      </c>
      <c r="KM7" s="38">
        <v>4</v>
      </c>
      <c r="KN7" s="32">
        <v>0</v>
      </c>
      <c r="KO7" s="32">
        <f>MEDIAN(3,3,2,3,3,2,2,3,3,2,3,3,2,2,3,3,3,2,3,3,3,3,3,3,3,3,3,3,3)</f>
        <v>3</v>
      </c>
      <c r="KP7" s="32">
        <v>3</v>
      </c>
      <c r="KQ7" s="32">
        <v>1</v>
      </c>
      <c r="KR7" s="32">
        <v>1</v>
      </c>
      <c r="KS7" s="33">
        <f t="shared" si="36"/>
        <v>8</v>
      </c>
      <c r="KU7" s="34">
        <v>4</v>
      </c>
      <c r="KV7" s="32">
        <v>1</v>
      </c>
      <c r="KW7" s="32">
        <f>MEDIAN(3,3,2,2,3,3,3,3,3,3,3,3)</f>
        <v>3</v>
      </c>
      <c r="KX7" s="32">
        <v>2</v>
      </c>
      <c r="KY7" s="32">
        <v>3</v>
      </c>
      <c r="KZ7" s="32">
        <v>1</v>
      </c>
      <c r="LA7" s="33">
        <f t="shared" si="37"/>
        <v>10</v>
      </c>
      <c r="LC7" s="34">
        <v>4</v>
      </c>
      <c r="LD7" s="32">
        <v>3</v>
      </c>
      <c r="LE7" s="32">
        <f>MEDIAN(3,3,3,3,2,3,2,3,3,3,3,3,3,3)</f>
        <v>3</v>
      </c>
      <c r="LF7" s="32">
        <v>2</v>
      </c>
      <c r="LG7" s="36" t="s">
        <v>31</v>
      </c>
      <c r="LH7" s="32">
        <v>3</v>
      </c>
      <c r="LI7" s="33">
        <f t="shared" si="38"/>
        <v>11</v>
      </c>
      <c r="LJ7">
        <f t="shared" ref="LJ7:LJ28" si="41">LI7*(5/4)</f>
        <v>13.75</v>
      </c>
      <c r="LK7" s="37">
        <v>4</v>
      </c>
      <c r="LL7" s="32">
        <v>0</v>
      </c>
      <c r="LM7" s="32">
        <f>MEDIAN(3,2,3,3,3,2,3)</f>
        <v>3</v>
      </c>
      <c r="LN7" s="32">
        <v>3</v>
      </c>
      <c r="LO7" s="32">
        <v>0</v>
      </c>
      <c r="LP7" s="32">
        <v>1</v>
      </c>
      <c r="LQ7" s="33">
        <f t="shared" si="39"/>
        <v>7</v>
      </c>
    </row>
    <row r="8" spans="1:330" x14ac:dyDescent="0.35">
      <c r="A8" s="28">
        <v>5</v>
      </c>
      <c r="B8" s="25">
        <v>1</v>
      </c>
      <c r="C8" s="26">
        <f>MEDIAN(3,3,3,3,3,3,3,3,3,3,3,3,3,3,2,2,3,2)</f>
        <v>3</v>
      </c>
      <c r="D8" s="26">
        <v>2</v>
      </c>
      <c r="E8" s="26">
        <v>3</v>
      </c>
      <c r="F8" s="26">
        <v>3</v>
      </c>
      <c r="G8" s="27">
        <f t="shared" si="0"/>
        <v>12</v>
      </c>
      <c r="H8" s="14"/>
      <c r="J8" s="29">
        <v>5</v>
      </c>
      <c r="K8" s="25">
        <v>2</v>
      </c>
      <c r="L8" s="26">
        <f>MEDIAN(3,3,2,2,3,2,2,2)</f>
        <v>2</v>
      </c>
      <c r="M8" s="26">
        <v>1</v>
      </c>
      <c r="N8" s="26">
        <v>2</v>
      </c>
      <c r="O8" s="26">
        <v>1</v>
      </c>
      <c r="P8" s="27">
        <f t="shared" si="1"/>
        <v>8</v>
      </c>
      <c r="R8" s="29">
        <v>5</v>
      </c>
      <c r="S8" s="25">
        <v>2</v>
      </c>
      <c r="T8" s="26">
        <f>MEDIAN(3,2,3,2,2,3,2,2,2,3,3,3,3,3,3,2)</f>
        <v>3</v>
      </c>
      <c r="U8" s="26">
        <v>2</v>
      </c>
      <c r="V8" s="26">
        <v>2</v>
      </c>
      <c r="W8" s="26">
        <v>2</v>
      </c>
      <c r="X8" s="27">
        <f t="shared" si="2"/>
        <v>11</v>
      </c>
      <c r="Z8" s="28">
        <v>5</v>
      </c>
      <c r="AA8" s="25">
        <v>2</v>
      </c>
      <c r="AB8" s="26">
        <f>MEDIAN(2,2,2,2,2,3,2,3,2,2,2)</f>
        <v>2</v>
      </c>
      <c r="AC8" s="26">
        <v>2</v>
      </c>
      <c r="AD8" s="26" t="s">
        <v>31</v>
      </c>
      <c r="AE8" s="26">
        <v>1</v>
      </c>
      <c r="AF8" s="27">
        <f t="shared" si="3"/>
        <v>7</v>
      </c>
      <c r="AH8" s="29">
        <v>5</v>
      </c>
      <c r="AI8" s="25">
        <v>2</v>
      </c>
      <c r="AJ8" s="26">
        <f>MEDIAN(3,2,3,3,2)</f>
        <v>3</v>
      </c>
      <c r="AK8" s="26">
        <v>2</v>
      </c>
      <c r="AL8" s="26" t="s">
        <v>31</v>
      </c>
      <c r="AM8" s="26">
        <v>1</v>
      </c>
      <c r="AN8" s="27">
        <f t="shared" si="4"/>
        <v>8</v>
      </c>
      <c r="AP8" s="29">
        <v>5</v>
      </c>
      <c r="AQ8" s="25">
        <v>1</v>
      </c>
      <c r="AR8" s="26">
        <f>MEDIAN(2,3,3,3,2,3,3,2,2,2,3,3,2,2,2)</f>
        <v>2</v>
      </c>
      <c r="AS8" s="26">
        <v>3</v>
      </c>
      <c r="AT8" s="26">
        <v>3</v>
      </c>
      <c r="AU8" s="26">
        <v>3</v>
      </c>
      <c r="AV8" s="27">
        <f t="shared" si="5"/>
        <v>12</v>
      </c>
      <c r="AX8" s="29">
        <v>5</v>
      </c>
      <c r="AY8" s="25">
        <v>1</v>
      </c>
      <c r="AZ8" s="26">
        <f>MEDIAN(3,2,3,2,2,2,3,3,3,3,3,3,2,2,3)</f>
        <v>3</v>
      </c>
      <c r="BA8" s="26">
        <v>2</v>
      </c>
      <c r="BB8" s="26" t="s">
        <v>31</v>
      </c>
      <c r="BC8" s="26">
        <v>2</v>
      </c>
      <c r="BD8" s="27">
        <f t="shared" si="6"/>
        <v>8</v>
      </c>
      <c r="BF8" s="30">
        <v>5</v>
      </c>
      <c r="BG8" s="25">
        <v>0</v>
      </c>
      <c r="BH8" s="26">
        <f>MEDIAN(3,3,2,3,3,3,3)</f>
        <v>3</v>
      </c>
      <c r="BI8" s="26">
        <v>1</v>
      </c>
      <c r="BJ8" s="26">
        <v>1</v>
      </c>
      <c r="BK8" s="26">
        <v>0</v>
      </c>
      <c r="BL8" s="27">
        <f t="shared" si="7"/>
        <v>5</v>
      </c>
      <c r="BM8" s="14"/>
      <c r="BN8" s="28">
        <v>5</v>
      </c>
      <c r="BO8" s="25">
        <v>2</v>
      </c>
      <c r="BP8" s="26">
        <f>MEDIAN(3,3,3)</f>
        <v>3</v>
      </c>
      <c r="BQ8" s="26">
        <v>2</v>
      </c>
      <c r="BR8" s="26">
        <v>3</v>
      </c>
      <c r="BS8" s="26">
        <v>3</v>
      </c>
      <c r="BT8" s="27">
        <f t="shared" si="8"/>
        <v>13</v>
      </c>
      <c r="BU8" s="14"/>
      <c r="BV8" s="29">
        <v>5</v>
      </c>
      <c r="BW8" s="25">
        <v>0</v>
      </c>
      <c r="BX8" s="26">
        <f>MEDIAN(3,3,3,3,2,2,2,3,3,3,2,2,2,2)</f>
        <v>2.5</v>
      </c>
      <c r="BY8" s="26">
        <v>2</v>
      </c>
      <c r="BZ8" s="26">
        <v>2</v>
      </c>
      <c r="CA8" s="26">
        <v>1</v>
      </c>
      <c r="CB8" s="27">
        <f t="shared" si="9"/>
        <v>7.5</v>
      </c>
      <c r="CC8" s="14"/>
      <c r="CD8" s="28">
        <v>5</v>
      </c>
      <c r="CE8" s="25">
        <v>2</v>
      </c>
      <c r="CF8" s="26">
        <f>MEDIAN(2,2,2,3,2,2)</f>
        <v>2</v>
      </c>
      <c r="CG8" s="26">
        <v>1</v>
      </c>
      <c r="CH8" s="26">
        <v>0</v>
      </c>
      <c r="CI8" s="26">
        <v>2</v>
      </c>
      <c r="CJ8" s="27">
        <f t="shared" si="10"/>
        <v>7</v>
      </c>
      <c r="CK8" s="14"/>
      <c r="CL8" s="28">
        <v>5</v>
      </c>
      <c r="CM8" s="25">
        <v>0</v>
      </c>
      <c r="CN8" s="26">
        <f>MEDIAN(3,2,3,3,2,3,2,3,3,3,3,3,3,3,3,3,3,3,3,3,3,3,2,3)</f>
        <v>3</v>
      </c>
      <c r="CO8" s="26">
        <v>3</v>
      </c>
      <c r="CP8" s="26">
        <v>3</v>
      </c>
      <c r="CQ8" s="26">
        <v>1</v>
      </c>
      <c r="CR8" s="27">
        <f t="shared" si="11"/>
        <v>10</v>
      </c>
      <c r="CT8" s="29">
        <v>5</v>
      </c>
      <c r="CU8" s="25">
        <v>1</v>
      </c>
      <c r="CV8" s="26">
        <f>MEDIAN(3,3,3,3,2,3,3,3,3,3,3,3,3)</f>
        <v>3</v>
      </c>
      <c r="CW8" s="26">
        <v>3</v>
      </c>
      <c r="CX8" s="26">
        <v>2</v>
      </c>
      <c r="CY8" s="26">
        <v>1</v>
      </c>
      <c r="CZ8" s="27">
        <f t="shared" si="12"/>
        <v>10</v>
      </c>
      <c r="DB8" s="30">
        <v>5</v>
      </c>
      <c r="DC8" s="25">
        <v>0</v>
      </c>
      <c r="DD8" s="26">
        <f>MEDIAN(3,3,3,2,3,3,2,3,3,3,3,2,3)</f>
        <v>3</v>
      </c>
      <c r="DE8" s="26">
        <v>3</v>
      </c>
      <c r="DF8" s="26">
        <v>1</v>
      </c>
      <c r="DG8" s="26">
        <v>1</v>
      </c>
      <c r="DH8" s="27">
        <f t="shared" si="13"/>
        <v>8</v>
      </c>
      <c r="DJ8" s="30">
        <v>5</v>
      </c>
      <c r="DK8" s="25">
        <v>1</v>
      </c>
      <c r="DL8" s="26">
        <f>MEDIAN(3,3,2,3)</f>
        <v>3</v>
      </c>
      <c r="DM8" s="26">
        <v>1</v>
      </c>
      <c r="DN8" s="26">
        <v>2</v>
      </c>
      <c r="DO8" s="26">
        <v>0</v>
      </c>
      <c r="DP8" s="27">
        <f t="shared" si="14"/>
        <v>7</v>
      </c>
      <c r="DQ8" s="14"/>
      <c r="DR8" s="29">
        <v>5</v>
      </c>
      <c r="DS8" s="25">
        <v>1</v>
      </c>
      <c r="DT8" s="26">
        <f>MEDIAN(3,3,3,3,3,3,3,3,3,3,3,3)</f>
        <v>3</v>
      </c>
      <c r="DU8" s="26">
        <v>3</v>
      </c>
      <c r="DV8" s="45" t="s">
        <v>31</v>
      </c>
      <c r="DW8" s="26">
        <v>1</v>
      </c>
      <c r="DX8" s="27">
        <f t="shared" si="15"/>
        <v>8</v>
      </c>
      <c r="DY8" s="14"/>
      <c r="EA8" s="28">
        <v>5</v>
      </c>
      <c r="EB8" s="26">
        <v>0</v>
      </c>
      <c r="EC8" s="26">
        <f>MEDIAN(3,3,3,2,3,3,3,2,3,3,3,3,3,3,2,3,3,2)</f>
        <v>3</v>
      </c>
      <c r="ED8" s="26">
        <v>2</v>
      </c>
      <c r="EE8" s="26">
        <v>1</v>
      </c>
      <c r="EF8" s="26">
        <v>1</v>
      </c>
      <c r="EG8" s="33">
        <f t="shared" si="17"/>
        <v>7</v>
      </c>
      <c r="EI8" s="34">
        <v>5</v>
      </c>
      <c r="EJ8" s="32">
        <v>0</v>
      </c>
      <c r="EK8" s="32">
        <f>MEDIAN(3,3,3,3,3,3,2,2,2,3,2,3,2,2,2,3,2,2,3,3,3,3,2,3)</f>
        <v>3</v>
      </c>
      <c r="EL8" s="32">
        <v>3</v>
      </c>
      <c r="EM8" s="32">
        <v>1</v>
      </c>
      <c r="EN8" s="32">
        <v>1</v>
      </c>
      <c r="EO8" s="33">
        <f t="shared" si="18"/>
        <v>8</v>
      </c>
      <c r="EQ8" s="34">
        <v>5</v>
      </c>
      <c r="ER8" s="32">
        <v>1</v>
      </c>
      <c r="ES8" s="36">
        <f>MEDIAN(3,3)</f>
        <v>3</v>
      </c>
      <c r="ET8" s="32">
        <v>2</v>
      </c>
      <c r="EU8" s="36">
        <v>3</v>
      </c>
      <c r="EV8" s="32">
        <v>1</v>
      </c>
      <c r="EW8" s="33">
        <f t="shared" si="19"/>
        <v>10</v>
      </c>
      <c r="EY8" s="34">
        <v>5</v>
      </c>
      <c r="EZ8" s="32">
        <v>0</v>
      </c>
      <c r="FA8" s="32">
        <f>MEDIAN(3,2,2,2,3,3,3,3,1,2,3,2,2)</f>
        <v>2</v>
      </c>
      <c r="FB8" s="32">
        <v>3</v>
      </c>
      <c r="FC8" s="36">
        <v>2</v>
      </c>
      <c r="FD8" s="32">
        <v>2</v>
      </c>
      <c r="FE8" s="33">
        <f t="shared" si="20"/>
        <v>9</v>
      </c>
      <c r="FG8" s="37">
        <v>5</v>
      </c>
      <c r="FH8" s="32">
        <v>1</v>
      </c>
      <c r="FI8" s="32">
        <f>MEDIAN(3,3,3,3,3,2,3,3,3)</f>
        <v>3</v>
      </c>
      <c r="FJ8" s="32">
        <v>2</v>
      </c>
      <c r="FK8" s="36">
        <v>1</v>
      </c>
      <c r="FL8" s="32">
        <v>1</v>
      </c>
      <c r="FM8" s="33">
        <f t="shared" si="40"/>
        <v>8</v>
      </c>
      <c r="FO8" s="46">
        <v>5</v>
      </c>
      <c r="FP8" s="32">
        <v>1</v>
      </c>
      <c r="FQ8" s="32">
        <f>MEDIAN(3,3,3,3,3,3,3,3,3,3,3,2,3,2,3,3,3,3,2,2,2,3,3)</f>
        <v>3</v>
      </c>
      <c r="FR8" s="32">
        <v>3</v>
      </c>
      <c r="FS8" s="36">
        <v>2</v>
      </c>
      <c r="FT8" s="32">
        <v>3</v>
      </c>
      <c r="FU8" s="33">
        <f t="shared" si="21"/>
        <v>12</v>
      </c>
      <c r="FW8" s="37">
        <v>5</v>
      </c>
      <c r="FX8" s="26">
        <v>2</v>
      </c>
      <c r="FY8" s="32">
        <f>MEDIAN(3,2,2,3,3)</f>
        <v>3</v>
      </c>
      <c r="FZ8" s="32">
        <v>1</v>
      </c>
      <c r="GA8" s="32">
        <v>2</v>
      </c>
      <c r="GB8" s="32">
        <v>1</v>
      </c>
      <c r="GC8" s="33">
        <f t="shared" si="22"/>
        <v>9</v>
      </c>
      <c r="GE8" s="34">
        <v>5</v>
      </c>
      <c r="GF8" s="32">
        <v>0</v>
      </c>
      <c r="GG8" s="32">
        <f>MEDIAN(2,3,2,3,3,3,3,2,3,3,3,2,3,3,3)</f>
        <v>3</v>
      </c>
      <c r="GH8" s="32">
        <v>2</v>
      </c>
      <c r="GI8" s="36">
        <v>0</v>
      </c>
      <c r="GJ8" s="32">
        <v>1</v>
      </c>
      <c r="GK8" s="33">
        <f t="shared" si="23"/>
        <v>6</v>
      </c>
      <c r="GM8" s="37">
        <v>5</v>
      </c>
      <c r="GN8" s="26">
        <v>0</v>
      </c>
      <c r="GO8" s="32">
        <f>MEDIAN(1,2,2,3)</f>
        <v>2</v>
      </c>
      <c r="GP8" s="32">
        <v>2</v>
      </c>
      <c r="GQ8" s="32">
        <v>0</v>
      </c>
      <c r="GR8" s="32">
        <v>0</v>
      </c>
      <c r="GS8" s="33">
        <f t="shared" si="24"/>
        <v>4</v>
      </c>
      <c r="GU8" s="34">
        <v>5</v>
      </c>
      <c r="GV8" s="32">
        <v>1</v>
      </c>
      <c r="GW8" s="32">
        <f>MEDIAN(2,3,3,3,2,3,3,3,3,2,2)</f>
        <v>3</v>
      </c>
      <c r="GX8" s="32">
        <v>1</v>
      </c>
      <c r="GY8" s="32">
        <v>3</v>
      </c>
      <c r="GZ8" s="32">
        <v>2</v>
      </c>
      <c r="HA8" s="33">
        <f t="shared" si="25"/>
        <v>10</v>
      </c>
      <c r="HC8" s="34">
        <v>5</v>
      </c>
      <c r="HD8" s="32">
        <v>0</v>
      </c>
      <c r="HE8" s="32">
        <f>MEDIAN(2,2,3,2,3,3,3,2,3,3,2)</f>
        <v>3</v>
      </c>
      <c r="HF8" s="32">
        <v>0</v>
      </c>
      <c r="HG8" s="36">
        <v>2</v>
      </c>
      <c r="HH8" s="32">
        <v>0</v>
      </c>
      <c r="HI8" s="33">
        <f t="shared" si="26"/>
        <v>5</v>
      </c>
      <c r="HK8" s="34">
        <v>5</v>
      </c>
      <c r="HL8" s="32">
        <v>2</v>
      </c>
      <c r="HM8" s="32">
        <f>MEDIAN(3,3,3,2,2,3,3)</f>
        <v>3</v>
      </c>
      <c r="HN8" s="32">
        <v>2</v>
      </c>
      <c r="HO8" s="32">
        <v>1</v>
      </c>
      <c r="HP8" s="32">
        <v>0</v>
      </c>
      <c r="HQ8" s="33">
        <f t="shared" si="27"/>
        <v>8</v>
      </c>
      <c r="HS8" s="37">
        <v>5</v>
      </c>
      <c r="HT8" s="32">
        <v>0</v>
      </c>
      <c r="HU8" s="32">
        <f>MEDIAN(3,2,3,3,3,2,3,3,3,2,2,3,3)</f>
        <v>3</v>
      </c>
      <c r="HV8" s="32">
        <v>3</v>
      </c>
      <c r="HW8" s="32">
        <v>2</v>
      </c>
      <c r="HX8" s="32">
        <v>1</v>
      </c>
      <c r="HY8" s="33">
        <f t="shared" si="28"/>
        <v>9</v>
      </c>
      <c r="IA8" s="34">
        <v>5</v>
      </c>
      <c r="IB8" s="32">
        <v>0</v>
      </c>
      <c r="IC8" s="32">
        <f>MEDIAN(2,2,2,3,2,3,3,3,3,3,3,2,2,3,2,3,3)</f>
        <v>3</v>
      </c>
      <c r="ID8" s="32">
        <v>3</v>
      </c>
      <c r="IE8" s="36" t="s">
        <v>31</v>
      </c>
      <c r="IF8" s="32">
        <v>1</v>
      </c>
      <c r="IG8" s="33">
        <f t="shared" si="29"/>
        <v>7</v>
      </c>
      <c r="IH8">
        <f>IG8*(5/4)</f>
        <v>8.75</v>
      </c>
      <c r="II8" s="38">
        <v>5</v>
      </c>
      <c r="IJ8" s="32">
        <v>1</v>
      </c>
      <c r="IK8" s="32">
        <f>MEDIAN(2,2,2,3,2,3,2,3,3,2,2,3,3)</f>
        <v>2</v>
      </c>
      <c r="IL8" s="32">
        <v>3</v>
      </c>
      <c r="IM8" s="32">
        <v>1</v>
      </c>
      <c r="IN8" s="32">
        <v>1</v>
      </c>
      <c r="IO8" s="33">
        <f t="shared" si="16"/>
        <v>8</v>
      </c>
      <c r="IQ8" s="34">
        <v>5</v>
      </c>
      <c r="IR8" s="32">
        <v>1</v>
      </c>
      <c r="IS8" s="32">
        <f>MEDIAN(2,3,3,3)</f>
        <v>3</v>
      </c>
      <c r="IT8" s="32">
        <v>3</v>
      </c>
      <c r="IU8" s="32">
        <v>0</v>
      </c>
      <c r="IV8" s="32">
        <v>0</v>
      </c>
      <c r="IW8" s="33">
        <f t="shared" si="30"/>
        <v>7</v>
      </c>
      <c r="IY8" s="34">
        <v>5</v>
      </c>
      <c r="IZ8" s="32">
        <v>0</v>
      </c>
      <c r="JA8" s="32">
        <f>MEDIAN(2,2,3,2,3,2,2,3,2,3,2,3,3,3,3,2,3,2)</f>
        <v>2.5</v>
      </c>
      <c r="JB8" s="32">
        <v>3</v>
      </c>
      <c r="JC8" s="32">
        <v>0</v>
      </c>
      <c r="JD8" s="32">
        <v>1</v>
      </c>
      <c r="JE8" s="33">
        <f t="shared" si="31"/>
        <v>6.5</v>
      </c>
      <c r="JG8" s="34">
        <v>5</v>
      </c>
      <c r="JH8" s="32">
        <v>0</v>
      </c>
      <c r="JI8" s="32">
        <f>MEDIAN(3,3,3,3,3,3,2,3,3,3,3,3,3)</f>
        <v>3</v>
      </c>
      <c r="JJ8" s="32">
        <v>3</v>
      </c>
      <c r="JK8" s="32">
        <v>0</v>
      </c>
      <c r="JL8" s="32">
        <v>0</v>
      </c>
      <c r="JM8" s="33">
        <f t="shared" si="32"/>
        <v>6</v>
      </c>
      <c r="JO8" s="35">
        <v>5</v>
      </c>
      <c r="JP8" s="32">
        <v>1</v>
      </c>
      <c r="JQ8" s="32">
        <f>MEDIAN(3,3,3,3,3,2,2,3,3,2,2,3,3,3,2,3,3,2,3,2,3,3,2,3,3,3,3)</f>
        <v>3</v>
      </c>
      <c r="JR8" s="32">
        <v>2</v>
      </c>
      <c r="JS8" s="32">
        <v>2</v>
      </c>
      <c r="JT8" s="32">
        <v>1</v>
      </c>
      <c r="JU8" s="33">
        <f t="shared" si="33"/>
        <v>9</v>
      </c>
      <c r="JW8" s="37">
        <v>5</v>
      </c>
      <c r="JX8" s="32">
        <v>1</v>
      </c>
      <c r="JY8" s="32">
        <f>MEDIAN(3,3,3,3,3,3,3,3,2,2,3,3,3,3,2,2,3)</f>
        <v>3</v>
      </c>
      <c r="JZ8" s="32">
        <v>2</v>
      </c>
      <c r="KA8" s="32">
        <v>2</v>
      </c>
      <c r="KB8" s="32">
        <v>1</v>
      </c>
      <c r="KC8" s="33">
        <f t="shared" si="34"/>
        <v>9</v>
      </c>
      <c r="KE8" s="39">
        <v>5</v>
      </c>
      <c r="KF8" s="32">
        <v>0</v>
      </c>
      <c r="KG8" s="32">
        <f>MEDIAN(3,3,2,2,3,3,3,3,3,2,2)</f>
        <v>3</v>
      </c>
      <c r="KH8" s="32">
        <v>3</v>
      </c>
      <c r="KI8" s="32">
        <v>1</v>
      </c>
      <c r="KJ8" s="32">
        <v>1</v>
      </c>
      <c r="KK8" s="33">
        <f t="shared" si="35"/>
        <v>8</v>
      </c>
      <c r="KM8" s="37">
        <v>5</v>
      </c>
      <c r="KN8" s="32">
        <v>1</v>
      </c>
      <c r="KO8" s="32">
        <f>MEDIAN(3,2,3,3,3,3,3,3,3,3,3,3,3,3,3,3,3,3,3,3,3,3,3,2)</f>
        <v>3</v>
      </c>
      <c r="KP8" s="32">
        <v>2</v>
      </c>
      <c r="KQ8" s="32">
        <v>2</v>
      </c>
      <c r="KR8" s="32">
        <v>2</v>
      </c>
      <c r="KS8" s="33">
        <f t="shared" si="36"/>
        <v>10</v>
      </c>
      <c r="KU8" s="38">
        <v>5</v>
      </c>
      <c r="KV8" s="32">
        <v>1</v>
      </c>
      <c r="KW8" s="32">
        <f>MEDIAN(3,3,3,2,2,2,2,3,3,2,2,3,3,3,3)</f>
        <v>3</v>
      </c>
      <c r="KX8" s="32">
        <v>2</v>
      </c>
      <c r="KY8" s="32">
        <v>1</v>
      </c>
      <c r="KZ8" s="32">
        <v>2</v>
      </c>
      <c r="LA8" s="33">
        <f t="shared" si="37"/>
        <v>9</v>
      </c>
      <c r="LC8" s="34">
        <v>5</v>
      </c>
      <c r="LD8" s="32">
        <v>2</v>
      </c>
      <c r="LE8" s="32">
        <f>MEDIAN(3,3,2,2,2,3,3,3,3,3,3,3,2,2,3,3,2,3,3,3,3)</f>
        <v>3</v>
      </c>
      <c r="LF8" s="32">
        <v>1</v>
      </c>
      <c r="LG8" s="36" t="s">
        <v>31</v>
      </c>
      <c r="LH8" s="32">
        <v>2</v>
      </c>
      <c r="LI8" s="33">
        <f t="shared" si="38"/>
        <v>8</v>
      </c>
      <c r="LJ8">
        <f t="shared" si="41"/>
        <v>10</v>
      </c>
      <c r="LK8" s="37">
        <v>5</v>
      </c>
      <c r="LL8" s="32">
        <v>0</v>
      </c>
      <c r="LM8" s="32">
        <f>MEDIAN(3,3,3,3,3,2,2,2,3)</f>
        <v>3</v>
      </c>
      <c r="LN8" s="32">
        <v>3</v>
      </c>
      <c r="LO8" s="32">
        <v>1</v>
      </c>
      <c r="LP8" s="32">
        <v>0</v>
      </c>
      <c r="LQ8" s="33">
        <f t="shared" si="39"/>
        <v>7</v>
      </c>
    </row>
    <row r="9" spans="1:330" x14ac:dyDescent="0.35">
      <c r="A9" s="24">
        <v>6</v>
      </c>
      <c r="B9" s="25">
        <v>1</v>
      </c>
      <c r="C9" s="26">
        <f>MEDIAN(2,3,3,2,3,3)</f>
        <v>3</v>
      </c>
      <c r="D9" s="26">
        <v>2</v>
      </c>
      <c r="E9" s="26">
        <v>3</v>
      </c>
      <c r="F9" s="26">
        <v>3</v>
      </c>
      <c r="G9" s="27">
        <f t="shared" si="0"/>
        <v>12</v>
      </c>
      <c r="H9" s="14"/>
      <c r="J9" s="40">
        <v>6</v>
      </c>
      <c r="K9" s="25">
        <v>0</v>
      </c>
      <c r="L9" s="26">
        <f>MEDIAN(2,3,3,2,3,3,3,3,3,3,3,3,3,3,3,3,3,3,3,3,3,3,3)</f>
        <v>3</v>
      </c>
      <c r="M9" s="26">
        <v>3</v>
      </c>
      <c r="N9" s="26">
        <v>3</v>
      </c>
      <c r="O9" s="26">
        <v>2</v>
      </c>
      <c r="P9" s="27">
        <f t="shared" si="1"/>
        <v>11</v>
      </c>
      <c r="R9" s="29">
        <v>6</v>
      </c>
      <c r="S9" s="25">
        <v>1</v>
      </c>
      <c r="T9" s="26">
        <f>MEDIAN(3,2,3,3,2,3,2,3,3,1,2,2,2,1)</f>
        <v>2</v>
      </c>
      <c r="U9" s="26">
        <v>3</v>
      </c>
      <c r="V9" s="26">
        <v>2</v>
      </c>
      <c r="W9" s="26">
        <v>2</v>
      </c>
      <c r="X9" s="27">
        <f t="shared" si="2"/>
        <v>10</v>
      </c>
      <c r="Z9" s="28">
        <v>6</v>
      </c>
      <c r="AA9" s="25">
        <v>2</v>
      </c>
      <c r="AB9" s="26">
        <f>MEDIAN(2,2,2,2,2,2,2,2)</f>
        <v>2</v>
      </c>
      <c r="AC9" s="26">
        <v>2</v>
      </c>
      <c r="AD9" s="26">
        <v>3</v>
      </c>
      <c r="AE9" s="26">
        <v>1</v>
      </c>
      <c r="AF9" s="27">
        <f t="shared" si="3"/>
        <v>10</v>
      </c>
      <c r="AH9" s="30">
        <v>6</v>
      </c>
      <c r="AI9" s="25">
        <v>0</v>
      </c>
      <c r="AJ9" s="26">
        <f>MEDIAN(3,2,2,3,3,2,1,3,3,2,3,2,3)</f>
        <v>3</v>
      </c>
      <c r="AK9" s="26">
        <v>2</v>
      </c>
      <c r="AL9" s="26" t="s">
        <v>31</v>
      </c>
      <c r="AM9" s="26">
        <v>1</v>
      </c>
      <c r="AN9" s="27">
        <f t="shared" si="4"/>
        <v>6</v>
      </c>
      <c r="AP9" s="29">
        <v>6</v>
      </c>
      <c r="AQ9" s="25">
        <v>1</v>
      </c>
      <c r="AR9" s="26">
        <f>MEDIAN(2,2,2,2,3,3,1,2,2,2,1)</f>
        <v>2</v>
      </c>
      <c r="AS9" s="26">
        <v>3</v>
      </c>
      <c r="AT9" s="26">
        <v>3</v>
      </c>
      <c r="AU9" s="26">
        <v>2</v>
      </c>
      <c r="AV9" s="27">
        <f t="shared" si="5"/>
        <v>11</v>
      </c>
      <c r="AX9" s="28">
        <v>6</v>
      </c>
      <c r="AY9" s="25">
        <v>0</v>
      </c>
      <c r="AZ9" s="26">
        <f>MEDIAN(3,2,3,3,3,3,2,2,2,3,3,3,2,2,2,2,2,3,3,2,3,3)</f>
        <v>3</v>
      </c>
      <c r="BA9" s="26">
        <v>2</v>
      </c>
      <c r="BB9" s="26" t="s">
        <v>31</v>
      </c>
      <c r="BC9" s="26">
        <v>2</v>
      </c>
      <c r="BD9" s="27">
        <f t="shared" si="6"/>
        <v>7</v>
      </c>
      <c r="BF9" s="30">
        <v>6</v>
      </c>
      <c r="BG9" s="25">
        <v>0</v>
      </c>
      <c r="BH9" s="26">
        <f>MEDIAN(2,3,2,2,3,3,3,3,2,2,2,2,3,2,3,3,2)</f>
        <v>2</v>
      </c>
      <c r="BI9" s="26">
        <v>2</v>
      </c>
      <c r="BJ9" s="26">
        <v>2</v>
      </c>
      <c r="BK9" s="26">
        <v>1</v>
      </c>
      <c r="BL9" s="27">
        <f t="shared" si="7"/>
        <v>7</v>
      </c>
      <c r="BM9" s="14"/>
      <c r="BN9" s="28">
        <v>6</v>
      </c>
      <c r="BO9" s="25">
        <v>2</v>
      </c>
      <c r="BP9" s="26">
        <f>MEDIAN(3,3,2,3,3,2,2)</f>
        <v>3</v>
      </c>
      <c r="BQ9" s="26">
        <v>3</v>
      </c>
      <c r="BR9" s="26">
        <v>3</v>
      </c>
      <c r="BS9" s="26">
        <v>2</v>
      </c>
      <c r="BT9" s="27">
        <f t="shared" si="8"/>
        <v>13</v>
      </c>
      <c r="BU9" s="14"/>
      <c r="BV9" s="29">
        <v>6</v>
      </c>
      <c r="BW9" s="25">
        <v>0</v>
      </c>
      <c r="BX9" s="26">
        <f>MEDIAN(2,2,2,3,3,2,2,3)</f>
        <v>2</v>
      </c>
      <c r="BY9" s="26">
        <v>3</v>
      </c>
      <c r="BZ9" s="26">
        <v>3</v>
      </c>
      <c r="CA9" s="26">
        <v>2</v>
      </c>
      <c r="CB9" s="27">
        <f t="shared" si="9"/>
        <v>10</v>
      </c>
      <c r="CC9" s="14"/>
      <c r="CD9" s="28">
        <v>6</v>
      </c>
      <c r="CE9" s="25">
        <v>0</v>
      </c>
      <c r="CF9" s="26" t="s">
        <v>31</v>
      </c>
      <c r="CG9" s="26">
        <v>3</v>
      </c>
      <c r="CH9" s="26">
        <v>0</v>
      </c>
      <c r="CI9" s="26">
        <v>2</v>
      </c>
      <c r="CJ9" s="27">
        <f t="shared" si="10"/>
        <v>5</v>
      </c>
      <c r="CK9" s="14"/>
      <c r="CL9" s="28">
        <v>6</v>
      </c>
      <c r="CM9" s="25">
        <v>0</v>
      </c>
      <c r="CN9" s="26">
        <f>MEDIAN(2,3,3,3,3,3,2,2,2,2,3,2,2,3,3,2)</f>
        <v>2.5</v>
      </c>
      <c r="CO9" s="26">
        <v>3</v>
      </c>
      <c r="CP9" s="26">
        <v>2</v>
      </c>
      <c r="CQ9" s="26">
        <v>1</v>
      </c>
      <c r="CR9" s="27">
        <f t="shared" si="11"/>
        <v>8.5</v>
      </c>
      <c r="CT9" s="29">
        <v>6</v>
      </c>
      <c r="CU9" s="25">
        <v>0</v>
      </c>
      <c r="CV9" s="26">
        <f>MEDIAN(3,3,3,3,2,3,3,2,3,3,3,2,3,3)</f>
        <v>3</v>
      </c>
      <c r="CW9" s="26">
        <v>2</v>
      </c>
      <c r="CX9" s="26">
        <v>2</v>
      </c>
      <c r="CY9" s="26">
        <v>1</v>
      </c>
      <c r="CZ9" s="27">
        <f t="shared" si="12"/>
        <v>8</v>
      </c>
      <c r="DB9" s="30">
        <v>6</v>
      </c>
      <c r="DC9" s="25">
        <v>0</v>
      </c>
      <c r="DD9" s="26">
        <f>MEDIAN(3,2,3,3,3,2,2,2,3,3,2,2,2)</f>
        <v>2</v>
      </c>
      <c r="DE9" s="26">
        <v>3</v>
      </c>
      <c r="DF9" s="26">
        <v>2</v>
      </c>
      <c r="DG9" s="26">
        <v>1</v>
      </c>
      <c r="DH9" s="27">
        <f t="shared" si="13"/>
        <v>8</v>
      </c>
      <c r="DJ9" s="30">
        <v>6</v>
      </c>
      <c r="DK9" s="25">
        <v>0</v>
      </c>
      <c r="DL9" s="26">
        <f>MEDIAN(2,3,2,3,2,2)</f>
        <v>2</v>
      </c>
      <c r="DM9" s="26">
        <v>2</v>
      </c>
      <c r="DN9" s="26">
        <v>0</v>
      </c>
      <c r="DO9" s="26">
        <v>0</v>
      </c>
      <c r="DP9" s="27">
        <f t="shared" si="14"/>
        <v>4</v>
      </c>
      <c r="DQ9" s="14"/>
      <c r="DR9" s="31">
        <v>6</v>
      </c>
      <c r="DS9" s="25">
        <v>1</v>
      </c>
      <c r="DT9" s="26">
        <f>MEDIAN(3,3,3,3,3,3,2,3,3,2,3,3,3,2)</f>
        <v>3</v>
      </c>
      <c r="DU9" s="26">
        <v>2</v>
      </c>
      <c r="DV9" s="26">
        <v>1</v>
      </c>
      <c r="DW9" s="26">
        <v>1</v>
      </c>
      <c r="DX9" s="27">
        <f t="shared" si="15"/>
        <v>8</v>
      </c>
      <c r="DY9" s="14"/>
      <c r="EA9" s="28">
        <v>6</v>
      </c>
      <c r="EB9" s="26">
        <v>0</v>
      </c>
      <c r="EC9" s="26">
        <f>MEDIAN(3,2,3,3,3,2,2,2,3,2,3,3,2,3,3,3)</f>
        <v>3</v>
      </c>
      <c r="ED9" s="26">
        <v>2</v>
      </c>
      <c r="EE9" s="26">
        <v>1</v>
      </c>
      <c r="EF9" s="26">
        <v>1</v>
      </c>
      <c r="EG9" s="33">
        <f t="shared" si="17"/>
        <v>7</v>
      </c>
      <c r="EI9" s="34">
        <v>6</v>
      </c>
      <c r="EJ9" s="32">
        <v>1</v>
      </c>
      <c r="EK9" s="32">
        <f>MEDIAN(3,3,3,3,3,3,3,3,3,2)</f>
        <v>3</v>
      </c>
      <c r="EL9" s="32">
        <v>3</v>
      </c>
      <c r="EM9" s="32">
        <v>1</v>
      </c>
      <c r="EN9" s="32">
        <v>1</v>
      </c>
      <c r="EO9" s="33">
        <f t="shared" si="18"/>
        <v>9</v>
      </c>
      <c r="EQ9" s="34">
        <v>6</v>
      </c>
      <c r="ER9" s="32">
        <v>2</v>
      </c>
      <c r="ES9" s="36" t="s">
        <v>31</v>
      </c>
      <c r="ET9" s="32">
        <v>2</v>
      </c>
      <c r="EU9" s="36">
        <v>3</v>
      </c>
      <c r="EV9" s="32">
        <v>1</v>
      </c>
      <c r="EW9" s="33">
        <f t="shared" si="19"/>
        <v>8</v>
      </c>
      <c r="EX9">
        <f>EW9*(5/4)</f>
        <v>10</v>
      </c>
      <c r="EY9" s="37">
        <v>6</v>
      </c>
      <c r="EZ9" s="32">
        <v>1</v>
      </c>
      <c r="FA9" s="32">
        <f>MEDIAN(2,3,3)</f>
        <v>3</v>
      </c>
      <c r="FB9" s="32">
        <v>2</v>
      </c>
      <c r="FC9" s="36">
        <v>2</v>
      </c>
      <c r="FD9" s="32">
        <v>1</v>
      </c>
      <c r="FE9" s="33">
        <f t="shared" si="20"/>
        <v>9</v>
      </c>
      <c r="FG9" s="35">
        <v>6</v>
      </c>
      <c r="FH9" s="32">
        <v>2</v>
      </c>
      <c r="FI9" s="32">
        <f>MEDIAN(3,3,3,2,3,3,2,3,3,3,3)</f>
        <v>3</v>
      </c>
      <c r="FJ9" s="32">
        <v>2</v>
      </c>
      <c r="FK9" s="36">
        <v>2</v>
      </c>
      <c r="FL9" s="32">
        <v>1</v>
      </c>
      <c r="FM9" s="33">
        <f t="shared" si="40"/>
        <v>10</v>
      </c>
      <c r="FO9" s="37">
        <v>6</v>
      </c>
      <c r="FP9" s="32">
        <v>1</v>
      </c>
      <c r="FQ9" s="32">
        <f>MEDIAN(3,3,3,3,3,3,3,3,3,3,3,3,2,3,3,3,3,3,2,3,3,3)</f>
        <v>3</v>
      </c>
      <c r="FR9" s="32">
        <v>3</v>
      </c>
      <c r="FS9" s="36">
        <v>2</v>
      </c>
      <c r="FT9" s="32">
        <v>3</v>
      </c>
      <c r="FU9" s="33">
        <f t="shared" si="21"/>
        <v>12</v>
      </c>
      <c r="FW9" s="39">
        <v>6</v>
      </c>
      <c r="FX9" s="26">
        <v>1</v>
      </c>
      <c r="FY9" s="32">
        <f>MEDIAN(3,2,2,2,3,3,3,2,2,2,3,3,2,3,2,3)</f>
        <v>2.5</v>
      </c>
      <c r="FZ9" s="32">
        <v>1</v>
      </c>
      <c r="GA9" s="36">
        <v>1</v>
      </c>
      <c r="GB9" s="32">
        <v>1</v>
      </c>
      <c r="GC9" s="33">
        <f t="shared" si="22"/>
        <v>6.5</v>
      </c>
      <c r="GE9" s="34">
        <v>6</v>
      </c>
      <c r="GF9" s="32">
        <v>0</v>
      </c>
      <c r="GG9" s="32">
        <f>MEDIAN(2,3,3,3,3,3,3,3,2)</f>
        <v>3</v>
      </c>
      <c r="GH9" s="32">
        <v>3</v>
      </c>
      <c r="GI9" s="36">
        <v>1</v>
      </c>
      <c r="GJ9" s="32">
        <v>1</v>
      </c>
      <c r="GK9" s="33">
        <f t="shared" si="23"/>
        <v>8</v>
      </c>
      <c r="GM9" s="37">
        <v>6</v>
      </c>
      <c r="GN9" s="26">
        <v>1</v>
      </c>
      <c r="GO9" s="32">
        <f>MEDIAN(2,3,3,2,3,3,3,2,1,2,3,3,3)</f>
        <v>3</v>
      </c>
      <c r="GP9" s="32">
        <v>2</v>
      </c>
      <c r="GQ9" s="32">
        <v>0</v>
      </c>
      <c r="GR9" s="32">
        <v>0</v>
      </c>
      <c r="GS9" s="33">
        <f t="shared" si="24"/>
        <v>6</v>
      </c>
      <c r="GU9" s="37">
        <v>6</v>
      </c>
      <c r="GV9" s="32">
        <v>1</v>
      </c>
      <c r="GW9" s="32">
        <f>MEDIAN(3,3,3,3,3,3,3,3,3)</f>
        <v>3</v>
      </c>
      <c r="GX9" s="32">
        <v>1</v>
      </c>
      <c r="GY9" s="36">
        <v>3</v>
      </c>
      <c r="GZ9" s="32">
        <v>2</v>
      </c>
      <c r="HA9" s="33">
        <f t="shared" si="25"/>
        <v>10</v>
      </c>
      <c r="HC9" s="34">
        <v>6</v>
      </c>
      <c r="HD9" s="32">
        <v>1</v>
      </c>
      <c r="HE9" s="32">
        <f>MEDIAN(2,3,3,3,2,3,2,2,3,2,2,3)</f>
        <v>2.5</v>
      </c>
      <c r="HF9" s="32">
        <v>0</v>
      </c>
      <c r="HG9" s="36">
        <v>1</v>
      </c>
      <c r="HH9" s="32">
        <v>1</v>
      </c>
      <c r="HI9" s="33">
        <f t="shared" si="26"/>
        <v>5.5</v>
      </c>
      <c r="HK9" s="34">
        <v>6</v>
      </c>
      <c r="HL9" s="32">
        <v>0</v>
      </c>
      <c r="HM9" s="32">
        <f>MEDIAN(2,3,3,3,3,3,2,2,3,3,3,2,3,2,2,2,3,3,3,3,2,3,3,3,3,3,3,3,3,3)</f>
        <v>3</v>
      </c>
      <c r="HN9" s="32">
        <v>2</v>
      </c>
      <c r="HO9" s="32">
        <v>2</v>
      </c>
      <c r="HP9" s="32">
        <v>1</v>
      </c>
      <c r="HQ9" s="33">
        <f t="shared" si="27"/>
        <v>8</v>
      </c>
      <c r="HS9" s="38">
        <v>6</v>
      </c>
      <c r="HT9" s="32">
        <v>2</v>
      </c>
      <c r="HU9" s="32">
        <f>MEDIAN(3,3)</f>
        <v>3</v>
      </c>
      <c r="HV9" s="32">
        <v>1</v>
      </c>
      <c r="HW9" s="32">
        <v>0</v>
      </c>
      <c r="HX9" s="32">
        <v>1</v>
      </c>
      <c r="HY9" s="33">
        <f t="shared" si="28"/>
        <v>7</v>
      </c>
      <c r="IA9" s="34">
        <v>6</v>
      </c>
      <c r="IB9" s="32">
        <v>2</v>
      </c>
      <c r="IC9" s="32">
        <f>MEDIAN(3,2,3,3,3,3,2)</f>
        <v>3</v>
      </c>
      <c r="ID9" s="32">
        <v>2</v>
      </c>
      <c r="IE9" s="32">
        <v>2</v>
      </c>
      <c r="IF9" s="32">
        <v>2</v>
      </c>
      <c r="IG9" s="33">
        <f t="shared" si="29"/>
        <v>11</v>
      </c>
      <c r="II9" s="34">
        <v>6</v>
      </c>
      <c r="IJ9" s="32">
        <v>2</v>
      </c>
      <c r="IK9" s="32">
        <f>MEDIAN(3,3,3,2,3,2,3)</f>
        <v>3</v>
      </c>
      <c r="IL9" s="32">
        <v>2</v>
      </c>
      <c r="IM9" s="36" t="s">
        <v>31</v>
      </c>
      <c r="IN9" s="32">
        <v>2</v>
      </c>
      <c r="IO9" s="33">
        <f t="shared" si="16"/>
        <v>9</v>
      </c>
      <c r="IP9">
        <f>IO9*(5/4)</f>
        <v>11.25</v>
      </c>
      <c r="IQ9" s="34">
        <v>6</v>
      </c>
      <c r="IR9" s="32">
        <v>1</v>
      </c>
      <c r="IS9" s="32">
        <f>MEDIAN(3,3,3,3,2,3,2,3,3,3,2)</f>
        <v>3</v>
      </c>
      <c r="IT9" s="32">
        <v>2</v>
      </c>
      <c r="IU9" s="32">
        <v>0</v>
      </c>
      <c r="IV9" s="32">
        <v>0</v>
      </c>
      <c r="IW9" s="33">
        <f t="shared" si="30"/>
        <v>6</v>
      </c>
      <c r="IY9" s="34">
        <v>6</v>
      </c>
      <c r="IZ9" s="32">
        <v>0</v>
      </c>
      <c r="JA9" s="32">
        <f>MEDIAN(3,2,2,3,3,3,2,3,3,2,3,2,3)</f>
        <v>3</v>
      </c>
      <c r="JB9" s="32">
        <v>2</v>
      </c>
      <c r="JC9" s="32">
        <v>1</v>
      </c>
      <c r="JD9" s="32">
        <v>0</v>
      </c>
      <c r="JE9" s="33">
        <f t="shared" si="31"/>
        <v>6</v>
      </c>
      <c r="JG9" s="34">
        <v>6</v>
      </c>
      <c r="JH9" s="32">
        <v>1</v>
      </c>
      <c r="JI9" s="32">
        <f>MEDIAN(3,3,3,3,3,3,2,3,3,3,3,3,3,3,3,2,3,3,2,3,3,3,3,3,3,3,3,30)</f>
        <v>3</v>
      </c>
      <c r="JJ9" s="32">
        <v>2</v>
      </c>
      <c r="JK9" s="32">
        <v>1</v>
      </c>
      <c r="JL9" s="32">
        <v>1</v>
      </c>
      <c r="JM9" s="33">
        <f t="shared" si="32"/>
        <v>8</v>
      </c>
      <c r="JO9" s="34">
        <v>6</v>
      </c>
      <c r="JP9" s="32">
        <v>1</v>
      </c>
      <c r="JQ9" s="32">
        <f>MEDIAN(3,3,3,3,3,3,3,2,3,3,3,3,3,3,3,2,3,3,2,3,3,3,3,3,3,2,2,2,2,3,3,3,3,3,3,3,3,3,3,3,3,3,3,3,3,3,3,3,3,3,3,3,3,2,2,3,3)</f>
        <v>3</v>
      </c>
      <c r="JR9" s="32">
        <v>1</v>
      </c>
      <c r="JS9" s="32">
        <v>3</v>
      </c>
      <c r="JT9" s="32">
        <v>1</v>
      </c>
      <c r="JU9" s="33">
        <f t="shared" si="33"/>
        <v>9</v>
      </c>
      <c r="JW9" s="35">
        <v>6</v>
      </c>
      <c r="JX9" s="32">
        <v>1</v>
      </c>
      <c r="JY9" s="32">
        <f>MEDIAN(2,3,3,3,3,3,3,3,2,3,3,2,3,3,3,3,3,3,3,2,3,3,3,3,3)</f>
        <v>3</v>
      </c>
      <c r="JZ9" s="32">
        <v>2</v>
      </c>
      <c r="KA9" s="32">
        <v>2</v>
      </c>
      <c r="KB9" s="32">
        <v>2</v>
      </c>
      <c r="KC9" s="33">
        <f t="shared" si="34"/>
        <v>10</v>
      </c>
      <c r="KE9" s="37">
        <v>6</v>
      </c>
      <c r="KF9" s="32">
        <v>2</v>
      </c>
      <c r="KG9" s="32">
        <f>MEDIAN(2,3,3,3,3,3,2,3,2)</f>
        <v>3</v>
      </c>
      <c r="KH9" s="32">
        <v>1</v>
      </c>
      <c r="KI9" s="32">
        <v>1</v>
      </c>
      <c r="KJ9" s="32">
        <v>1</v>
      </c>
      <c r="KK9" s="33">
        <f t="shared" si="35"/>
        <v>8</v>
      </c>
      <c r="KM9" s="39">
        <v>6</v>
      </c>
      <c r="KN9" s="32">
        <v>0</v>
      </c>
      <c r="KO9" s="32">
        <f>MEDIAN(3,3,3,2,3,3,2,3,3,3,3,3,3)</f>
        <v>3</v>
      </c>
      <c r="KP9" s="32">
        <v>2</v>
      </c>
      <c r="KQ9" s="32">
        <v>1</v>
      </c>
      <c r="KR9" s="32">
        <v>1</v>
      </c>
      <c r="KS9" s="33">
        <f t="shared" si="36"/>
        <v>7</v>
      </c>
      <c r="KU9" s="37">
        <v>6</v>
      </c>
      <c r="KV9" s="32">
        <v>1</v>
      </c>
      <c r="KW9" s="32">
        <f>MEDIAN(3,2,1,3,3,3,3)</f>
        <v>3</v>
      </c>
      <c r="KX9" s="32">
        <v>2</v>
      </c>
      <c r="KY9" s="32">
        <v>1</v>
      </c>
      <c r="KZ9" s="32">
        <v>1</v>
      </c>
      <c r="LA9" s="33">
        <f t="shared" si="37"/>
        <v>8</v>
      </c>
      <c r="LC9" s="37">
        <v>6</v>
      </c>
      <c r="LD9" s="32">
        <v>3</v>
      </c>
      <c r="LE9" s="32">
        <f>MEDIAN(3,3,3)</f>
        <v>3</v>
      </c>
      <c r="LF9" s="32">
        <v>3</v>
      </c>
      <c r="LG9" s="32">
        <v>3</v>
      </c>
      <c r="LH9" s="32">
        <v>3</v>
      </c>
      <c r="LI9" s="33">
        <f t="shared" si="38"/>
        <v>15</v>
      </c>
      <c r="LK9" s="37">
        <v>6</v>
      </c>
      <c r="LL9" s="32">
        <v>0</v>
      </c>
      <c r="LM9" s="32">
        <f>MEDIAN(3,3,3,3,3,2,2,3,3,3,2,3)</f>
        <v>3</v>
      </c>
      <c r="LN9" s="32">
        <v>2</v>
      </c>
      <c r="LO9" s="32">
        <v>0</v>
      </c>
      <c r="LP9" s="32">
        <v>1</v>
      </c>
      <c r="LQ9" s="33">
        <f t="shared" si="39"/>
        <v>6</v>
      </c>
    </row>
    <row r="10" spans="1:330" ht="15" thickBot="1" x14ac:dyDescent="0.4">
      <c r="A10" s="28">
        <v>7</v>
      </c>
      <c r="B10" s="25">
        <v>0</v>
      </c>
      <c r="C10" s="26">
        <f>MEDIAN(3,2,2,2,2,2,2,2,2,2,2,3,3,3,3,2,2,2,3,3)</f>
        <v>2</v>
      </c>
      <c r="D10" s="26">
        <v>2</v>
      </c>
      <c r="E10" s="26" t="s">
        <v>31</v>
      </c>
      <c r="F10" s="26">
        <v>3</v>
      </c>
      <c r="G10" s="27">
        <f t="shared" si="0"/>
        <v>7</v>
      </c>
      <c r="H10" s="14"/>
      <c r="J10" s="47">
        <v>7</v>
      </c>
      <c r="K10" s="25">
        <v>1</v>
      </c>
      <c r="L10" s="26">
        <f>MEDIAN(3,3,3,2,3,3,3,3,2,2,2,3,3,3,3)</f>
        <v>3</v>
      </c>
      <c r="M10" s="26">
        <v>2</v>
      </c>
      <c r="N10" s="26">
        <v>1</v>
      </c>
      <c r="O10" s="26">
        <v>1</v>
      </c>
      <c r="P10" s="27">
        <f t="shared" si="1"/>
        <v>8</v>
      </c>
      <c r="R10" s="29">
        <v>7</v>
      </c>
      <c r="S10" s="25">
        <v>1</v>
      </c>
      <c r="T10" s="26">
        <f>MEDIAN(3,3,3,3,2,3,3,3,3,3,3,3,3,3,3,3,3,2)</f>
        <v>3</v>
      </c>
      <c r="U10" s="26">
        <v>3</v>
      </c>
      <c r="V10" s="26">
        <v>1</v>
      </c>
      <c r="W10" s="26">
        <v>2</v>
      </c>
      <c r="X10" s="27">
        <f t="shared" si="2"/>
        <v>10</v>
      </c>
      <c r="Z10" s="28">
        <v>7</v>
      </c>
      <c r="AA10" s="25">
        <v>2</v>
      </c>
      <c r="AB10" s="26">
        <f>MEDIAN(3,2,2)</f>
        <v>2</v>
      </c>
      <c r="AC10" s="26">
        <v>1</v>
      </c>
      <c r="AD10" s="26">
        <v>3</v>
      </c>
      <c r="AE10" s="26">
        <v>1</v>
      </c>
      <c r="AF10" s="27">
        <f t="shared" si="3"/>
        <v>9</v>
      </c>
      <c r="AH10" s="30">
        <v>7</v>
      </c>
      <c r="AI10" s="25">
        <v>0</v>
      </c>
      <c r="AJ10" s="26">
        <f>MEDIAN(3,3,2,3)</f>
        <v>3</v>
      </c>
      <c r="AK10" s="26">
        <v>2</v>
      </c>
      <c r="AL10" s="26">
        <v>1</v>
      </c>
      <c r="AM10" s="26">
        <v>1</v>
      </c>
      <c r="AN10" s="27">
        <f t="shared" si="4"/>
        <v>7</v>
      </c>
      <c r="AP10" s="29">
        <v>7</v>
      </c>
      <c r="AQ10" s="25">
        <v>1</v>
      </c>
      <c r="AR10" s="26">
        <f>MEDIAN(3,2,2,2,3,3,3,3,3,3,1,2,2)</f>
        <v>3</v>
      </c>
      <c r="AS10" s="26">
        <v>3</v>
      </c>
      <c r="AT10" s="26">
        <v>2</v>
      </c>
      <c r="AU10" s="26">
        <v>1</v>
      </c>
      <c r="AV10" s="27">
        <f t="shared" si="5"/>
        <v>10</v>
      </c>
      <c r="AX10" s="29">
        <v>7</v>
      </c>
      <c r="AY10" s="25">
        <v>0</v>
      </c>
      <c r="AZ10" s="26">
        <f>MEDIAN(3,3,3,3,2,2,3,2,3,3,3,3,3,3,3,2,2,2,2,2,3)</f>
        <v>3</v>
      </c>
      <c r="BA10" s="26">
        <v>2</v>
      </c>
      <c r="BB10" s="26">
        <v>1</v>
      </c>
      <c r="BC10" s="26">
        <v>2</v>
      </c>
      <c r="BD10" s="27">
        <f t="shared" si="6"/>
        <v>8</v>
      </c>
      <c r="BF10" s="30">
        <v>7</v>
      </c>
      <c r="BG10" s="25">
        <v>0</v>
      </c>
      <c r="BH10" s="26">
        <f>MEDIAN(3,3,1,3,3,3,3,3,2,3,3,1)</f>
        <v>3</v>
      </c>
      <c r="BI10" s="26">
        <v>2</v>
      </c>
      <c r="BJ10" s="26">
        <v>1</v>
      </c>
      <c r="BK10" s="26">
        <v>0</v>
      </c>
      <c r="BL10" s="27">
        <f t="shared" si="7"/>
        <v>6</v>
      </c>
      <c r="BM10" s="14"/>
      <c r="BN10" s="30">
        <v>7</v>
      </c>
      <c r="BO10" s="25">
        <v>0</v>
      </c>
      <c r="BP10" s="26">
        <f>MEDIAN(3,2,2,1,2)</f>
        <v>2</v>
      </c>
      <c r="BQ10" s="26">
        <v>3</v>
      </c>
      <c r="BR10" s="26">
        <v>1</v>
      </c>
      <c r="BS10" s="26">
        <v>3</v>
      </c>
      <c r="BT10" s="27">
        <f t="shared" si="8"/>
        <v>9</v>
      </c>
      <c r="BU10" s="14"/>
      <c r="BV10" s="29">
        <v>7</v>
      </c>
      <c r="BW10" s="25">
        <v>0</v>
      </c>
      <c r="BX10" s="26">
        <f>MEDIAN(3,2,2,3,2,2,2)</f>
        <v>2</v>
      </c>
      <c r="BY10" s="26">
        <v>3</v>
      </c>
      <c r="BZ10" s="26">
        <v>3</v>
      </c>
      <c r="CA10" s="26">
        <v>2</v>
      </c>
      <c r="CB10" s="27">
        <f t="shared" si="9"/>
        <v>10</v>
      </c>
      <c r="CC10" s="14"/>
      <c r="CD10" s="28">
        <v>7</v>
      </c>
      <c r="CE10" s="25">
        <v>0</v>
      </c>
      <c r="CF10" s="26" t="s">
        <v>31</v>
      </c>
      <c r="CG10" s="26">
        <v>2</v>
      </c>
      <c r="CH10" s="26" t="s">
        <v>31</v>
      </c>
      <c r="CI10" s="26">
        <v>3</v>
      </c>
      <c r="CJ10" s="27">
        <f t="shared" si="10"/>
        <v>5</v>
      </c>
      <c r="CK10" s="14"/>
      <c r="CL10" s="28">
        <v>7</v>
      </c>
      <c r="CM10" s="25">
        <v>1</v>
      </c>
      <c r="CN10" s="26">
        <f>MEDIAN(3,3,2,2,3,2,2,3,3,3,3,3)</f>
        <v>3</v>
      </c>
      <c r="CO10" s="26">
        <v>3</v>
      </c>
      <c r="CP10" s="26">
        <v>2</v>
      </c>
      <c r="CQ10" s="26">
        <v>1</v>
      </c>
      <c r="CR10" s="27">
        <f t="shared" si="11"/>
        <v>10</v>
      </c>
      <c r="CT10" s="28">
        <v>7</v>
      </c>
      <c r="CU10" s="25">
        <v>0</v>
      </c>
      <c r="CV10" s="26">
        <f>MEDIAN(3,3,3,3,3,3,3,2,3,3,3,2,3,3)</f>
        <v>3</v>
      </c>
      <c r="CW10" s="26">
        <v>2</v>
      </c>
      <c r="CX10" s="26">
        <v>3</v>
      </c>
      <c r="CY10" s="26">
        <v>1</v>
      </c>
      <c r="CZ10" s="27">
        <f t="shared" si="12"/>
        <v>9</v>
      </c>
      <c r="DB10" s="30">
        <v>7</v>
      </c>
      <c r="DC10" s="25">
        <v>0</v>
      </c>
      <c r="DD10" s="26">
        <f>MEDIAN(3,2,3,3,3,2,2,2,2,3,3,3)</f>
        <v>3</v>
      </c>
      <c r="DE10" s="26">
        <v>3</v>
      </c>
      <c r="DF10" s="26">
        <v>0</v>
      </c>
      <c r="DG10" s="26">
        <v>1</v>
      </c>
      <c r="DH10" s="27">
        <f t="shared" si="13"/>
        <v>7</v>
      </c>
      <c r="DJ10" s="30">
        <v>7</v>
      </c>
      <c r="DK10" s="25">
        <v>0</v>
      </c>
      <c r="DL10" s="26">
        <f>MEDIAN(3,3,3,3,2,3,3,3)</f>
        <v>3</v>
      </c>
      <c r="DM10" s="26">
        <v>3</v>
      </c>
      <c r="DN10" s="26">
        <v>2</v>
      </c>
      <c r="DO10" s="26">
        <v>0</v>
      </c>
      <c r="DP10" s="27">
        <f t="shared" si="14"/>
        <v>8</v>
      </c>
      <c r="DQ10" s="14"/>
      <c r="DR10" s="31">
        <v>7</v>
      </c>
      <c r="DS10" s="25">
        <v>1</v>
      </c>
      <c r="DT10" s="26">
        <f>MEDIAN(3,3,3,3,3,3,3,2,3)</f>
        <v>3</v>
      </c>
      <c r="DU10" s="26">
        <v>2</v>
      </c>
      <c r="DV10" s="26">
        <v>1</v>
      </c>
      <c r="DW10" s="26">
        <v>1</v>
      </c>
      <c r="DX10" s="27">
        <f t="shared" si="15"/>
        <v>8</v>
      </c>
      <c r="DY10" s="14"/>
      <c r="EA10" s="34">
        <v>7</v>
      </c>
      <c r="EB10" s="48">
        <v>1</v>
      </c>
      <c r="EC10" s="49">
        <f>MEDIAN(2,3,2,2,3,3,3,3,2,3,3,3,3,3,3,3,3,3,3,2,3,2,3,3,3,3,3,2,2,3,3,3,2,3,2,3,3,3,3,2,3,3,2,3,2,3,3,3,3,2,2,3,3)</f>
        <v>3</v>
      </c>
      <c r="ED10" s="49">
        <v>2</v>
      </c>
      <c r="EE10" s="49">
        <v>3</v>
      </c>
      <c r="EF10" s="49">
        <v>1</v>
      </c>
      <c r="EG10" s="33">
        <f t="shared" si="17"/>
        <v>10</v>
      </c>
      <c r="EI10" s="34">
        <v>7</v>
      </c>
      <c r="EJ10" s="32">
        <v>0</v>
      </c>
      <c r="EK10" s="32">
        <f>MEDIAN(3,3,2,2,3,2,2,2,3,2)</f>
        <v>2</v>
      </c>
      <c r="EL10" s="32">
        <v>3</v>
      </c>
      <c r="EM10" s="32">
        <v>1</v>
      </c>
      <c r="EN10" s="32">
        <v>1</v>
      </c>
      <c r="EO10" s="33">
        <f t="shared" si="18"/>
        <v>7</v>
      </c>
      <c r="EQ10" s="34">
        <v>7</v>
      </c>
      <c r="ER10" s="32">
        <v>1</v>
      </c>
      <c r="ES10" s="36">
        <f>MEDIAN(3,3,2,2,3,3,2)</f>
        <v>3</v>
      </c>
      <c r="ET10" s="32">
        <v>2</v>
      </c>
      <c r="EU10" s="36">
        <v>3</v>
      </c>
      <c r="EV10" s="32">
        <v>1</v>
      </c>
      <c r="EW10" s="33">
        <f t="shared" si="19"/>
        <v>10</v>
      </c>
      <c r="EY10" s="37">
        <v>7</v>
      </c>
      <c r="EZ10" s="32">
        <v>1</v>
      </c>
      <c r="FA10" s="32">
        <f>MEDIAN(2,3,3,3,3,2,3,3,3,3,3,3,3,3,3,3,3,2,2,3,3,3,3,3,3,3,3,3,3)</f>
        <v>3</v>
      </c>
      <c r="FB10" s="32">
        <v>2</v>
      </c>
      <c r="FC10" s="36">
        <v>1</v>
      </c>
      <c r="FD10" s="32">
        <v>1</v>
      </c>
      <c r="FE10" s="33">
        <f t="shared" si="20"/>
        <v>8</v>
      </c>
      <c r="FG10" s="34">
        <v>7</v>
      </c>
      <c r="FH10" s="32">
        <v>0</v>
      </c>
      <c r="FI10" s="32">
        <f>MEDIAN(3,3,3,3,3,3,3)</f>
        <v>3</v>
      </c>
      <c r="FJ10" s="32">
        <v>1</v>
      </c>
      <c r="FK10" s="36" t="s">
        <v>31</v>
      </c>
      <c r="FL10" s="32">
        <v>1</v>
      </c>
      <c r="FM10" s="33">
        <f t="shared" si="40"/>
        <v>5</v>
      </c>
      <c r="FN10">
        <f>FM10*(5/4)</f>
        <v>6.25</v>
      </c>
      <c r="FO10" s="37">
        <v>7</v>
      </c>
      <c r="FP10" s="32">
        <v>1</v>
      </c>
      <c r="FQ10" s="32">
        <f>MEDIAN(3,3,3,3,3,3,3,3,3,2,2,3,3,3,3,3,3,2,3,2,3,3,3,3,3,2)</f>
        <v>3</v>
      </c>
      <c r="FR10" s="32">
        <v>2</v>
      </c>
      <c r="FS10" s="36">
        <v>3</v>
      </c>
      <c r="FT10" s="32">
        <v>2</v>
      </c>
      <c r="FU10" s="33">
        <f t="shared" si="21"/>
        <v>11</v>
      </c>
      <c r="FW10" s="39">
        <v>7</v>
      </c>
      <c r="FX10" s="32">
        <v>0</v>
      </c>
      <c r="FY10" s="32">
        <f>MEDIAN(3,2,2,3,2,2,3,3,2,3)</f>
        <v>2.5</v>
      </c>
      <c r="FZ10" s="32">
        <v>2</v>
      </c>
      <c r="GA10" s="36">
        <v>1</v>
      </c>
      <c r="GB10" s="32">
        <v>0</v>
      </c>
      <c r="GC10" s="33">
        <f t="shared" si="22"/>
        <v>5.5</v>
      </c>
      <c r="GE10" s="34">
        <v>7</v>
      </c>
      <c r="GF10" s="32">
        <v>0</v>
      </c>
      <c r="GG10" s="32">
        <f>MEDIAN(3,3,3,3,3,3,3,3,3,3,2,3,3,3,3,3,3,2,3,3,3,3,3,3)</f>
        <v>3</v>
      </c>
      <c r="GH10" s="32">
        <v>2</v>
      </c>
      <c r="GI10" s="36">
        <v>1</v>
      </c>
      <c r="GJ10" s="32">
        <v>2</v>
      </c>
      <c r="GK10" s="33">
        <f t="shared" si="23"/>
        <v>8</v>
      </c>
      <c r="GM10" s="37">
        <v>7</v>
      </c>
      <c r="GN10" s="26">
        <v>0</v>
      </c>
      <c r="GO10" s="32">
        <f>MEDIAN(2,2,3,3,2,2,2,3,3,3,2,2,3,3,2,2)</f>
        <v>2</v>
      </c>
      <c r="GP10" s="32">
        <v>3</v>
      </c>
      <c r="GQ10" s="32">
        <v>1</v>
      </c>
      <c r="GR10" s="32">
        <v>1</v>
      </c>
      <c r="GS10" s="33">
        <f t="shared" si="24"/>
        <v>7</v>
      </c>
      <c r="GU10" s="34">
        <v>7</v>
      </c>
      <c r="GV10" s="32">
        <v>1</v>
      </c>
      <c r="GW10" s="32">
        <f>MEDIAN(3,2,3,3,3,3,3,2,3,3,2,2,2,2)</f>
        <v>3</v>
      </c>
      <c r="GX10" s="32">
        <v>2</v>
      </c>
      <c r="GY10" s="36">
        <v>2</v>
      </c>
      <c r="GZ10" s="32">
        <v>1</v>
      </c>
      <c r="HA10" s="33">
        <f t="shared" si="25"/>
        <v>9</v>
      </c>
      <c r="HC10" s="34">
        <v>7</v>
      </c>
      <c r="HD10" s="32">
        <v>1</v>
      </c>
      <c r="HE10" s="32">
        <f>MEDIAN(3,3,3,3,2,3,3,2,2,2)</f>
        <v>3</v>
      </c>
      <c r="HF10" s="32">
        <v>1</v>
      </c>
      <c r="HG10" s="36" t="s">
        <v>31</v>
      </c>
      <c r="HH10" s="32">
        <v>2</v>
      </c>
      <c r="HI10" s="33">
        <f t="shared" si="26"/>
        <v>7</v>
      </c>
      <c r="HJ10">
        <f>HI10*(5/4)</f>
        <v>8.75</v>
      </c>
      <c r="HK10" s="34">
        <v>7</v>
      </c>
      <c r="HL10" s="32">
        <v>0</v>
      </c>
      <c r="HM10" s="32">
        <f>MEDIAN(3,3,3,3,3,3,2,3,3,2,2)</f>
        <v>3</v>
      </c>
      <c r="HN10" s="32">
        <v>2</v>
      </c>
      <c r="HO10" s="32">
        <v>0</v>
      </c>
      <c r="HP10" s="32">
        <v>1</v>
      </c>
      <c r="HQ10" s="33">
        <f t="shared" si="27"/>
        <v>6</v>
      </c>
      <c r="HS10" s="37">
        <v>7</v>
      </c>
      <c r="HT10" s="32">
        <v>0</v>
      </c>
      <c r="HU10" s="32">
        <f>MEDIAN(2,2,2,2,3)</f>
        <v>2</v>
      </c>
      <c r="HV10" s="32">
        <v>2</v>
      </c>
      <c r="HW10" s="32">
        <v>1</v>
      </c>
      <c r="HX10" s="32">
        <v>2</v>
      </c>
      <c r="HY10" s="33">
        <f t="shared" si="28"/>
        <v>7</v>
      </c>
      <c r="IA10" s="37">
        <v>7</v>
      </c>
      <c r="IB10" s="32">
        <v>2</v>
      </c>
      <c r="IC10" s="32">
        <f>MEDIAN(3,1,2,3,2,3,3,2,3,2,3,3,3,2,3,3,3,1,2,2,2,3,2,2)</f>
        <v>2.5</v>
      </c>
      <c r="ID10" s="32">
        <v>2</v>
      </c>
      <c r="IE10" s="32">
        <v>1</v>
      </c>
      <c r="IF10" s="32">
        <v>1</v>
      </c>
      <c r="IG10" s="33">
        <f t="shared" si="29"/>
        <v>8.5</v>
      </c>
      <c r="II10" s="42">
        <v>7</v>
      </c>
      <c r="IJ10" s="43"/>
      <c r="IK10" s="43"/>
      <c r="IL10" s="43"/>
      <c r="IM10" s="43"/>
      <c r="IN10" s="43"/>
      <c r="IO10" s="44"/>
      <c r="IQ10" s="34">
        <v>7</v>
      </c>
      <c r="IR10" s="32">
        <v>0</v>
      </c>
      <c r="IS10" s="32">
        <f>MEDIAN(2,3,3,2,2,2,3,2,3,2,3,2,3,3,3)</f>
        <v>3</v>
      </c>
      <c r="IT10" s="32">
        <v>2</v>
      </c>
      <c r="IU10" s="32">
        <v>0</v>
      </c>
      <c r="IV10" s="32">
        <v>1</v>
      </c>
      <c r="IW10" s="33">
        <f t="shared" si="30"/>
        <v>6</v>
      </c>
      <c r="IY10" s="34">
        <v>7</v>
      </c>
      <c r="IZ10" s="32">
        <v>0</v>
      </c>
      <c r="JA10" s="32">
        <f>MEDIAN(2,2,3,3,3,3,3)</f>
        <v>3</v>
      </c>
      <c r="JB10" s="32">
        <v>3</v>
      </c>
      <c r="JC10" s="32">
        <v>0</v>
      </c>
      <c r="JD10" s="32">
        <v>1</v>
      </c>
      <c r="JE10" s="33">
        <f t="shared" si="31"/>
        <v>7</v>
      </c>
      <c r="JG10" s="39">
        <v>7</v>
      </c>
      <c r="JH10" s="32">
        <v>1</v>
      </c>
      <c r="JI10" s="32">
        <f>MEDIAN(3,3,3,3,3,2,3)</f>
        <v>3</v>
      </c>
      <c r="JJ10" s="32">
        <v>0</v>
      </c>
      <c r="JK10" s="32">
        <v>1</v>
      </c>
      <c r="JL10" s="32">
        <v>1</v>
      </c>
      <c r="JM10" s="33">
        <f t="shared" si="32"/>
        <v>6</v>
      </c>
      <c r="JO10" s="35">
        <v>7</v>
      </c>
      <c r="JP10" s="32">
        <v>1</v>
      </c>
      <c r="JQ10" s="32">
        <f>MEDIAN(3,3,3,2,2,3,3,3,2,3,3,3,3,3,2,3,3,3,2,3,3,3,3,3,3,2,3,3,3,2,3,3,3,2,3,3)</f>
        <v>3</v>
      </c>
      <c r="JR10" s="32">
        <v>2</v>
      </c>
      <c r="JS10" s="32">
        <v>2</v>
      </c>
      <c r="JT10" s="32">
        <v>2</v>
      </c>
      <c r="JU10" s="33">
        <f t="shared" si="33"/>
        <v>10</v>
      </c>
      <c r="JW10" s="37">
        <v>7</v>
      </c>
      <c r="JX10" s="32">
        <v>1</v>
      </c>
      <c r="JY10" s="32">
        <f>MEDIAN(3,3,3,2,2,2,3,2,3,3,3,2,3,3,3,2,3,3,3,3,3,3,3,3,3,3,3,3,3,3,3,3,3,3,3,3,3,2,3,3,3,3,2,3,3,3,2,3,3,3,3,2,3,3,3,3,3,3)</f>
        <v>3</v>
      </c>
      <c r="JZ10" s="32">
        <v>2</v>
      </c>
      <c r="KA10" s="32">
        <v>3</v>
      </c>
      <c r="KB10" s="32">
        <v>2</v>
      </c>
      <c r="KC10" s="33">
        <f t="shared" si="34"/>
        <v>11</v>
      </c>
      <c r="KE10" s="34">
        <v>7</v>
      </c>
      <c r="KF10" s="32">
        <v>0</v>
      </c>
      <c r="KG10" s="32">
        <f>MEDIAN(3,3,2,2,3,2,3,3,3)</f>
        <v>3</v>
      </c>
      <c r="KH10" s="32">
        <v>3</v>
      </c>
      <c r="KI10" s="32">
        <v>0</v>
      </c>
      <c r="KJ10" s="32">
        <v>0</v>
      </c>
      <c r="KK10" s="33">
        <f t="shared" si="35"/>
        <v>6</v>
      </c>
      <c r="KM10" s="37">
        <v>7</v>
      </c>
      <c r="KN10" s="32">
        <v>1</v>
      </c>
      <c r="KO10" s="32">
        <f>MEDIAN(2,3,3,3,3,3,3,3,2,1,3,2,3,2,3,3,3,2)</f>
        <v>3</v>
      </c>
      <c r="KP10" s="32">
        <v>2</v>
      </c>
      <c r="KQ10" s="32">
        <v>1</v>
      </c>
      <c r="KR10" s="32">
        <v>1</v>
      </c>
      <c r="KS10" s="33">
        <f t="shared" si="36"/>
        <v>8</v>
      </c>
      <c r="KU10" s="35">
        <v>7</v>
      </c>
      <c r="KV10" s="32">
        <v>1</v>
      </c>
      <c r="KW10" s="32">
        <f>MEDIAN(3,3,3,2,2,3,2,2,2,2,2,2,3,2,2)</f>
        <v>2</v>
      </c>
      <c r="KX10" s="32">
        <v>2</v>
      </c>
      <c r="KY10" s="32">
        <v>3</v>
      </c>
      <c r="KZ10" s="32">
        <v>1</v>
      </c>
      <c r="LA10" s="33">
        <f t="shared" si="37"/>
        <v>9</v>
      </c>
      <c r="LC10" s="34">
        <v>7</v>
      </c>
      <c r="LD10" s="32">
        <v>2</v>
      </c>
      <c r="LE10" s="32">
        <f>MEDIAN(3,3,2,3,3,3,3,3,3,3,3,3)</f>
        <v>3</v>
      </c>
      <c r="LF10" s="32">
        <v>2</v>
      </c>
      <c r="LG10" s="36" t="s">
        <v>31</v>
      </c>
      <c r="LH10" s="32">
        <v>3</v>
      </c>
      <c r="LI10" s="33">
        <f t="shared" si="38"/>
        <v>10</v>
      </c>
      <c r="LJ10">
        <f t="shared" si="41"/>
        <v>12.5</v>
      </c>
      <c r="LK10" s="34">
        <v>7</v>
      </c>
      <c r="LL10" s="32">
        <v>0</v>
      </c>
      <c r="LM10" s="32">
        <f>MEDIAN(3,3,3,2,2,3,2,3,3,2,3,3,3,3)</f>
        <v>3</v>
      </c>
      <c r="LN10" s="32">
        <v>2</v>
      </c>
      <c r="LO10" s="32">
        <v>0</v>
      </c>
      <c r="LP10" s="32">
        <v>2</v>
      </c>
      <c r="LQ10" s="33">
        <f t="shared" si="39"/>
        <v>7</v>
      </c>
    </row>
    <row r="11" spans="1:330" x14ac:dyDescent="0.35">
      <c r="A11" s="28">
        <v>8</v>
      </c>
      <c r="B11" s="25">
        <v>1</v>
      </c>
      <c r="C11" s="26">
        <f>MEDIAN(3,3,3,2,2,2,3,3,2,2,3,2,2,2,2,3,3,3,2,3,2,2,3)</f>
        <v>2</v>
      </c>
      <c r="D11" s="26">
        <v>2</v>
      </c>
      <c r="E11" s="26">
        <v>1</v>
      </c>
      <c r="F11" s="26">
        <v>0</v>
      </c>
      <c r="G11" s="27">
        <f t="shared" si="0"/>
        <v>6</v>
      </c>
      <c r="H11" s="14"/>
      <c r="J11" s="28">
        <v>8</v>
      </c>
      <c r="K11" s="25">
        <v>1</v>
      </c>
      <c r="L11" s="26">
        <f>MEDIAN(2,3,3,2,3,2,3,2,3,2,2,2,3,3,2,2,2,2,2,2,3,2,2,2,2,2,3)</f>
        <v>2</v>
      </c>
      <c r="M11" s="26">
        <v>3</v>
      </c>
      <c r="N11" s="26">
        <v>1</v>
      </c>
      <c r="O11" s="26">
        <v>2</v>
      </c>
      <c r="P11" s="27">
        <f t="shared" si="1"/>
        <v>9</v>
      </c>
      <c r="R11" s="28">
        <v>8</v>
      </c>
      <c r="S11" s="25">
        <v>1</v>
      </c>
      <c r="T11" s="26">
        <f>MEDIAN(3,3,3,2,3,3,3,3,3,2,3,2,3,3,3)</f>
        <v>3</v>
      </c>
      <c r="U11" s="26">
        <v>3</v>
      </c>
      <c r="V11" s="26">
        <v>0</v>
      </c>
      <c r="W11" s="26">
        <v>1</v>
      </c>
      <c r="X11" s="27">
        <f t="shared" si="2"/>
        <v>8</v>
      </c>
      <c r="Z11" s="28">
        <v>8</v>
      </c>
      <c r="AA11" s="25">
        <v>1</v>
      </c>
      <c r="AB11" s="26">
        <f>MEDIAN(3,2,2,2,3,2,2,3,2,2,3,3)</f>
        <v>2</v>
      </c>
      <c r="AC11" s="26">
        <v>2</v>
      </c>
      <c r="AD11" s="26" t="s">
        <v>31</v>
      </c>
      <c r="AE11" s="26">
        <v>1</v>
      </c>
      <c r="AF11" s="27">
        <f t="shared" si="3"/>
        <v>6</v>
      </c>
      <c r="AH11" s="30">
        <v>8</v>
      </c>
      <c r="AI11" s="25">
        <v>1</v>
      </c>
      <c r="AJ11" s="26">
        <f>MEDIAN(3,3,3,1,2,3,3,2,3,3,2,1,2,3,3)</f>
        <v>3</v>
      </c>
      <c r="AK11" s="26">
        <v>3</v>
      </c>
      <c r="AL11" s="26">
        <v>0</v>
      </c>
      <c r="AM11" s="26">
        <v>2</v>
      </c>
      <c r="AN11" s="27">
        <f t="shared" si="4"/>
        <v>9</v>
      </c>
      <c r="AP11" s="24">
        <v>8</v>
      </c>
      <c r="AQ11" s="25">
        <v>1</v>
      </c>
      <c r="AR11" s="26">
        <f>MEDIAN(2,2,3,3,3,2)</f>
        <v>2.5</v>
      </c>
      <c r="AS11" s="26">
        <v>3</v>
      </c>
      <c r="AT11" s="26">
        <v>3</v>
      </c>
      <c r="AU11" s="26">
        <v>1</v>
      </c>
      <c r="AV11" s="27">
        <f t="shared" si="5"/>
        <v>10.5</v>
      </c>
      <c r="AX11" s="30">
        <v>8</v>
      </c>
      <c r="AY11" s="25">
        <v>1</v>
      </c>
      <c r="AZ11" s="26">
        <f>MEDIAN(3,3,2,3)</f>
        <v>3</v>
      </c>
      <c r="BA11" s="26">
        <v>1</v>
      </c>
      <c r="BB11" s="26" t="s">
        <v>31</v>
      </c>
      <c r="BC11" s="26">
        <v>0</v>
      </c>
      <c r="BD11" s="27">
        <f t="shared" si="6"/>
        <v>5</v>
      </c>
      <c r="BF11" s="28">
        <v>8</v>
      </c>
      <c r="BG11" s="25">
        <v>0</v>
      </c>
      <c r="BH11" s="26">
        <f>MEDIAN(2,3,2,2,2,1,2)</f>
        <v>2</v>
      </c>
      <c r="BI11" s="26">
        <v>2</v>
      </c>
      <c r="BJ11" s="26">
        <v>1</v>
      </c>
      <c r="BK11" s="26">
        <v>1</v>
      </c>
      <c r="BL11" s="27">
        <f t="shared" si="7"/>
        <v>6</v>
      </c>
      <c r="BM11" s="14"/>
      <c r="BN11" s="28">
        <v>8</v>
      </c>
      <c r="BO11" s="25">
        <v>3</v>
      </c>
      <c r="BP11" s="26" t="s">
        <v>31</v>
      </c>
      <c r="BQ11" s="26">
        <v>1</v>
      </c>
      <c r="BR11" s="26" t="s">
        <v>31</v>
      </c>
      <c r="BS11" s="26">
        <v>1</v>
      </c>
      <c r="BT11" s="27">
        <f t="shared" si="8"/>
        <v>5</v>
      </c>
      <c r="BU11" s="14"/>
      <c r="BV11" s="29">
        <v>8</v>
      </c>
      <c r="BW11" s="25">
        <v>1</v>
      </c>
      <c r="BX11" s="26">
        <f>MEDIAN(2,3,2,2,2,2,2)</f>
        <v>2</v>
      </c>
      <c r="BY11" s="26">
        <v>3</v>
      </c>
      <c r="BZ11" s="26">
        <v>3</v>
      </c>
      <c r="CA11" s="26">
        <v>2</v>
      </c>
      <c r="CB11" s="27">
        <f t="shared" si="9"/>
        <v>11</v>
      </c>
      <c r="CC11" s="14"/>
      <c r="CD11" s="28">
        <v>8</v>
      </c>
      <c r="CE11" s="25">
        <v>1</v>
      </c>
      <c r="CF11" s="26" t="s">
        <v>31</v>
      </c>
      <c r="CG11" s="26">
        <v>2</v>
      </c>
      <c r="CH11" s="26" t="s">
        <v>31</v>
      </c>
      <c r="CI11" s="26">
        <v>1</v>
      </c>
      <c r="CJ11" s="27">
        <f t="shared" si="10"/>
        <v>4</v>
      </c>
      <c r="CK11" s="14"/>
      <c r="CL11" s="28">
        <v>8</v>
      </c>
      <c r="CM11" s="25">
        <v>0</v>
      </c>
      <c r="CN11" s="26">
        <f>MEDIAN(3,3,3,3,3,3,2,3,3,3,3,3,3,3,1,2,2)</f>
        <v>3</v>
      </c>
      <c r="CO11" s="26">
        <v>3</v>
      </c>
      <c r="CP11" s="26">
        <v>0</v>
      </c>
      <c r="CQ11" s="26">
        <v>1</v>
      </c>
      <c r="CR11" s="27">
        <f t="shared" si="11"/>
        <v>7</v>
      </c>
      <c r="CT11" s="28">
        <v>8</v>
      </c>
      <c r="CU11" s="25">
        <v>1</v>
      </c>
      <c r="CV11" s="26">
        <f>MEDIAN(2,3,3,2,3,3,3,2,3,3,3,3,3)</f>
        <v>3</v>
      </c>
      <c r="CW11" s="26">
        <v>2</v>
      </c>
      <c r="CX11" s="26">
        <v>3</v>
      </c>
      <c r="CY11" s="26">
        <v>1</v>
      </c>
      <c r="CZ11" s="27">
        <f t="shared" si="12"/>
        <v>10</v>
      </c>
      <c r="DB11" s="30">
        <v>8</v>
      </c>
      <c r="DC11" s="25">
        <v>0</v>
      </c>
      <c r="DD11" s="26">
        <f>MEDIAN(3,2,3,2,3,3,3)</f>
        <v>3</v>
      </c>
      <c r="DE11" s="26">
        <v>2</v>
      </c>
      <c r="DF11" s="26">
        <v>1</v>
      </c>
      <c r="DG11" s="26">
        <v>1</v>
      </c>
      <c r="DH11" s="27">
        <f t="shared" si="13"/>
        <v>7</v>
      </c>
      <c r="DJ11" s="30">
        <v>8</v>
      </c>
      <c r="DK11" s="25">
        <v>1</v>
      </c>
      <c r="DL11" s="26">
        <f>MEDIAN(2,3,2,3)</f>
        <v>2.5</v>
      </c>
      <c r="DM11" s="26">
        <v>2</v>
      </c>
      <c r="DN11" s="26">
        <v>3</v>
      </c>
      <c r="DO11" s="26">
        <v>1</v>
      </c>
      <c r="DP11" s="27">
        <f t="shared" si="14"/>
        <v>9.5</v>
      </c>
      <c r="DQ11" s="14"/>
      <c r="DR11" s="29">
        <v>8</v>
      </c>
      <c r="DS11" s="25">
        <v>1</v>
      </c>
      <c r="DT11" s="26">
        <f>MEDIAN(3,3,3,3,3,2,3,3,3,2,2)</f>
        <v>3</v>
      </c>
      <c r="DU11" s="26">
        <v>2</v>
      </c>
      <c r="DV11" s="45" t="s">
        <v>31</v>
      </c>
      <c r="DW11" s="26">
        <v>1</v>
      </c>
      <c r="DX11" s="27">
        <f t="shared" si="15"/>
        <v>7</v>
      </c>
      <c r="DY11" s="14"/>
      <c r="EA11" s="28">
        <v>8</v>
      </c>
      <c r="EB11" s="8">
        <v>0</v>
      </c>
      <c r="EC11" s="16">
        <f>MEDIAN(2,3,3,3,2,3,2,3,3,3,2,3,2)</f>
        <v>3</v>
      </c>
      <c r="ED11" s="16">
        <v>2</v>
      </c>
      <c r="EE11" s="16">
        <v>0</v>
      </c>
      <c r="EF11" s="16">
        <v>0</v>
      </c>
      <c r="EG11" s="33">
        <f t="shared" si="17"/>
        <v>5</v>
      </c>
      <c r="EI11" s="34">
        <v>8</v>
      </c>
      <c r="EJ11" s="32">
        <v>0</v>
      </c>
      <c r="EK11" s="32">
        <f>MEDIAN(3,3,2,3,2,2,3,2,3,3,3,2)</f>
        <v>3</v>
      </c>
      <c r="EL11" s="32">
        <v>3</v>
      </c>
      <c r="EM11" s="32">
        <v>1</v>
      </c>
      <c r="EN11" s="32">
        <v>2</v>
      </c>
      <c r="EO11" s="33">
        <f t="shared" si="18"/>
        <v>9</v>
      </c>
      <c r="EQ11" s="37">
        <v>8</v>
      </c>
      <c r="ER11" s="32">
        <v>2</v>
      </c>
      <c r="ES11" s="32">
        <f>MEDIAN(2,2,2,3,3,3,2,2,2,3,2,2)</f>
        <v>2</v>
      </c>
      <c r="ET11" s="32">
        <v>2</v>
      </c>
      <c r="EU11" s="36">
        <v>1</v>
      </c>
      <c r="EV11" s="32">
        <v>0</v>
      </c>
      <c r="EW11" s="33">
        <f t="shared" si="19"/>
        <v>7</v>
      </c>
      <c r="EY11" s="37">
        <v>8</v>
      </c>
      <c r="EZ11" s="32">
        <v>0</v>
      </c>
      <c r="FA11" s="32">
        <f>MEDIAN(3,2,3,3,3,3,3,2,2,3,3,2)</f>
        <v>3</v>
      </c>
      <c r="FB11" s="32">
        <v>3</v>
      </c>
      <c r="FC11" s="36">
        <v>0</v>
      </c>
      <c r="FD11" s="32">
        <v>1</v>
      </c>
      <c r="FE11" s="33">
        <f t="shared" si="20"/>
        <v>7</v>
      </c>
      <c r="FG11" s="34">
        <v>8</v>
      </c>
      <c r="FH11" s="32">
        <v>2</v>
      </c>
      <c r="FI11" s="32">
        <f>MEDIAN(3,3,3,2,3,3,3,3,3,3,3)</f>
        <v>3</v>
      </c>
      <c r="FJ11" s="32">
        <v>2</v>
      </c>
      <c r="FK11" s="36">
        <v>1</v>
      </c>
      <c r="FL11" s="32">
        <v>1</v>
      </c>
      <c r="FM11" s="33">
        <f t="shared" si="40"/>
        <v>9</v>
      </c>
      <c r="FO11" s="37">
        <v>8</v>
      </c>
      <c r="FP11" s="32">
        <v>0</v>
      </c>
      <c r="FQ11" s="32">
        <f>MEDIAN(3,2,3,2,3,3,3,3,2)</f>
        <v>3</v>
      </c>
      <c r="FR11" s="32">
        <v>2</v>
      </c>
      <c r="FS11" s="36">
        <v>1</v>
      </c>
      <c r="FT11" s="32">
        <v>1</v>
      </c>
      <c r="FU11" s="33">
        <f t="shared" si="21"/>
        <v>7</v>
      </c>
      <c r="FW11" s="37">
        <v>8</v>
      </c>
      <c r="FX11" s="32">
        <v>2</v>
      </c>
      <c r="FY11" s="32">
        <f>MEDIAN(3,3,2,3)</f>
        <v>3</v>
      </c>
      <c r="FZ11" s="32">
        <v>2</v>
      </c>
      <c r="GA11" s="36">
        <v>2</v>
      </c>
      <c r="GB11" s="32">
        <v>2</v>
      </c>
      <c r="GC11" s="33">
        <f t="shared" si="22"/>
        <v>11</v>
      </c>
      <c r="GE11" s="34">
        <v>8</v>
      </c>
      <c r="GF11" s="32">
        <v>2</v>
      </c>
      <c r="GG11" s="32">
        <f>MEDIAN(3,3,3,3,3,3,3,3,3,3,3,2,2,3)</f>
        <v>3</v>
      </c>
      <c r="GH11" s="32">
        <v>2</v>
      </c>
      <c r="GI11" s="36">
        <v>3</v>
      </c>
      <c r="GJ11" s="32">
        <v>2</v>
      </c>
      <c r="GK11" s="33">
        <f t="shared" si="23"/>
        <v>12</v>
      </c>
      <c r="GM11" s="37">
        <v>8</v>
      </c>
      <c r="GN11" s="26">
        <v>1</v>
      </c>
      <c r="GO11" s="32">
        <f>MEDIAN(3,3,3,2,3,2,3,2,3,2,3,2,3,3)</f>
        <v>3</v>
      </c>
      <c r="GP11" s="32">
        <v>2</v>
      </c>
      <c r="GQ11" s="32">
        <v>0</v>
      </c>
      <c r="GR11" s="32">
        <v>1</v>
      </c>
      <c r="GS11" s="33">
        <f t="shared" si="24"/>
        <v>7</v>
      </c>
      <c r="GU11" s="34">
        <v>8</v>
      </c>
      <c r="GV11" s="32">
        <v>0</v>
      </c>
      <c r="GW11" s="32">
        <f>MEDIAN(3,3,3,3,3,3,3,3,3,3,3,3,3,3,3,3,3)</f>
        <v>3</v>
      </c>
      <c r="GX11" s="32">
        <v>2</v>
      </c>
      <c r="GY11" s="36">
        <v>2</v>
      </c>
      <c r="GZ11" s="32">
        <v>1</v>
      </c>
      <c r="HA11" s="33">
        <f t="shared" si="25"/>
        <v>8</v>
      </c>
      <c r="HC11" s="34">
        <v>8</v>
      </c>
      <c r="HD11" s="32">
        <v>0</v>
      </c>
      <c r="HE11" s="32">
        <f>MEDIAN(3,2,3,3,2,3,3,3,2,3,3,2,3,3)</f>
        <v>3</v>
      </c>
      <c r="HF11" s="32">
        <v>1</v>
      </c>
      <c r="HG11" s="36">
        <v>2</v>
      </c>
      <c r="HH11" s="32">
        <v>1</v>
      </c>
      <c r="HI11" s="33">
        <f t="shared" si="26"/>
        <v>7</v>
      </c>
      <c r="HK11" s="34">
        <v>8</v>
      </c>
      <c r="HL11" s="32">
        <v>1</v>
      </c>
      <c r="HM11" s="32">
        <f>MEDIAN(2,3,3,3,3,3,3)</f>
        <v>3</v>
      </c>
      <c r="HN11" s="32">
        <v>3</v>
      </c>
      <c r="HO11" s="32">
        <v>0</v>
      </c>
      <c r="HP11" s="32">
        <v>1</v>
      </c>
      <c r="HQ11" s="33">
        <f t="shared" si="27"/>
        <v>8</v>
      </c>
      <c r="HS11" s="37">
        <v>8</v>
      </c>
      <c r="HT11" s="32">
        <v>1</v>
      </c>
      <c r="HU11" s="32">
        <f>MEDIAN(3,2,3)</f>
        <v>3</v>
      </c>
      <c r="HV11" s="32">
        <v>3</v>
      </c>
      <c r="HW11" s="32">
        <v>0</v>
      </c>
      <c r="HX11" s="32">
        <v>2</v>
      </c>
      <c r="HY11" s="33">
        <f t="shared" si="28"/>
        <v>9</v>
      </c>
      <c r="IA11" s="37">
        <v>8</v>
      </c>
      <c r="IB11" s="32">
        <v>0</v>
      </c>
      <c r="IC11" s="32">
        <f>MEDIAN(2,3,3,2,3,2,3,3,3,2,2,3,3,3,3,2,3,2,3)</f>
        <v>3</v>
      </c>
      <c r="ID11" s="32">
        <v>2</v>
      </c>
      <c r="IE11" s="32">
        <v>1</v>
      </c>
      <c r="IF11" s="32">
        <v>1</v>
      </c>
      <c r="IG11" s="33">
        <f t="shared" si="29"/>
        <v>7</v>
      </c>
      <c r="II11" s="42">
        <v>8</v>
      </c>
      <c r="IJ11" s="43"/>
      <c r="IK11" s="43"/>
      <c r="IL11" s="43"/>
      <c r="IM11" s="43"/>
      <c r="IN11" s="43"/>
      <c r="IO11" s="44"/>
      <c r="IQ11" s="37">
        <v>8</v>
      </c>
      <c r="IR11" s="32">
        <v>0</v>
      </c>
      <c r="IS11" s="32">
        <f>MEDIAN(3,3,3,2,3,2,3,3)</f>
        <v>3</v>
      </c>
      <c r="IT11" s="32">
        <v>2</v>
      </c>
      <c r="IU11" s="32">
        <v>1</v>
      </c>
      <c r="IV11" s="32">
        <v>1</v>
      </c>
      <c r="IW11" s="33">
        <f t="shared" si="30"/>
        <v>7</v>
      </c>
      <c r="IY11" s="34">
        <v>8</v>
      </c>
      <c r="IZ11" s="32">
        <v>0</v>
      </c>
      <c r="JA11" s="32">
        <f>MEDIAN(3,2,3,2)</f>
        <v>2.5</v>
      </c>
      <c r="JB11" s="32">
        <v>2</v>
      </c>
      <c r="JC11" s="32">
        <v>0</v>
      </c>
      <c r="JD11" s="32">
        <v>0</v>
      </c>
      <c r="JE11" s="33">
        <f t="shared" si="31"/>
        <v>4.5</v>
      </c>
      <c r="JG11" s="34">
        <v>8</v>
      </c>
      <c r="JH11" s="32">
        <v>0</v>
      </c>
      <c r="JI11" s="32">
        <f>MEDIAN(2,2,2,2,3,3,2,3,2,3,3,3,3,2,3,3,3,3,3,3,2,2,3,3,3,3)</f>
        <v>3</v>
      </c>
      <c r="JJ11" s="32">
        <v>2</v>
      </c>
      <c r="JK11" s="32">
        <v>0</v>
      </c>
      <c r="JL11" s="32">
        <v>1</v>
      </c>
      <c r="JM11" s="33">
        <f t="shared" si="32"/>
        <v>6</v>
      </c>
      <c r="JO11" s="35">
        <v>8</v>
      </c>
      <c r="JP11" s="32">
        <v>2</v>
      </c>
      <c r="JQ11" s="32">
        <f>MEDIAN(3,3,3,3,2,2,3,3,3)</f>
        <v>3</v>
      </c>
      <c r="JR11" s="32">
        <v>2</v>
      </c>
      <c r="JS11" s="32">
        <v>2</v>
      </c>
      <c r="JT11" s="32">
        <v>2</v>
      </c>
      <c r="JU11" s="33">
        <f t="shared" si="33"/>
        <v>11</v>
      </c>
      <c r="JW11" s="37">
        <v>8</v>
      </c>
      <c r="JX11" s="32">
        <v>0</v>
      </c>
      <c r="JY11" s="32">
        <f>MEDIAN(2,2,2,3,3,1,2,2,2,3,3,1,2,3,3,2,2,3,2,3,2,2,2,2)</f>
        <v>2</v>
      </c>
      <c r="JZ11" s="32">
        <v>2</v>
      </c>
      <c r="KA11" s="32">
        <v>1</v>
      </c>
      <c r="KB11" s="32">
        <v>1</v>
      </c>
      <c r="KC11" s="33">
        <f t="shared" si="34"/>
        <v>6</v>
      </c>
      <c r="KE11" s="37">
        <v>8</v>
      </c>
      <c r="KF11" s="32">
        <v>0</v>
      </c>
      <c r="KG11" s="32">
        <f>MEDIAN(3,2,3,2,3,3,3,2,2)</f>
        <v>3</v>
      </c>
      <c r="KH11" s="32">
        <v>3</v>
      </c>
      <c r="KI11" s="32">
        <v>1</v>
      </c>
      <c r="KJ11" s="32">
        <v>1</v>
      </c>
      <c r="KK11" s="33">
        <f t="shared" si="35"/>
        <v>8</v>
      </c>
      <c r="KM11" s="37">
        <v>8</v>
      </c>
      <c r="KN11" s="32">
        <v>0</v>
      </c>
      <c r="KO11" s="32">
        <f>MEDIAN(3,3,3,3,3,2,3,2)</f>
        <v>3</v>
      </c>
      <c r="KP11" s="32">
        <v>2</v>
      </c>
      <c r="KQ11" s="32">
        <v>1</v>
      </c>
      <c r="KR11" s="32">
        <v>1</v>
      </c>
      <c r="KS11" s="33">
        <f t="shared" si="36"/>
        <v>7</v>
      </c>
      <c r="KU11" s="37">
        <v>8</v>
      </c>
      <c r="KV11" s="32">
        <v>0</v>
      </c>
      <c r="KW11" s="32">
        <f>MEDIAN(3,3,3,2,3,2,2,2,2,3,3,3,3,3,3,3,2,2,2,2,3,2,3,3,3,3,3,33,3,3,3,3,2,3,3)</f>
        <v>3</v>
      </c>
      <c r="KX11" s="32">
        <v>2</v>
      </c>
      <c r="KY11" s="32">
        <v>2</v>
      </c>
      <c r="KZ11" s="32">
        <v>1</v>
      </c>
      <c r="LA11" s="33">
        <f t="shared" si="37"/>
        <v>8</v>
      </c>
      <c r="LC11" s="34">
        <v>8</v>
      </c>
      <c r="LD11" s="32">
        <v>2</v>
      </c>
      <c r="LE11" s="32">
        <f>MEDIAN(3,3,2,2,3,3,3,2,2,3)</f>
        <v>3</v>
      </c>
      <c r="LF11" s="32">
        <v>2</v>
      </c>
      <c r="LG11" s="36">
        <v>3</v>
      </c>
      <c r="LH11" s="32">
        <v>2</v>
      </c>
      <c r="LI11" s="33">
        <f t="shared" si="38"/>
        <v>12</v>
      </c>
      <c r="LK11" s="34">
        <v>8</v>
      </c>
      <c r="LL11" s="32">
        <v>0</v>
      </c>
      <c r="LM11" s="32">
        <f>MEDIAN(2,3,3,3,3,3,3,3,3,2,3,3,3,3)</f>
        <v>3</v>
      </c>
      <c r="LN11" s="32">
        <v>2</v>
      </c>
      <c r="LO11" s="32">
        <v>0</v>
      </c>
      <c r="LP11" s="32">
        <v>2</v>
      </c>
      <c r="LQ11" s="33">
        <f t="shared" si="39"/>
        <v>7</v>
      </c>
    </row>
    <row r="12" spans="1:330" ht="15" thickBot="1" x14ac:dyDescent="0.4">
      <c r="A12" s="28">
        <v>9</v>
      </c>
      <c r="B12" s="25">
        <v>1</v>
      </c>
      <c r="C12" s="26">
        <f>MEDIAN(3,3,3,3,3,3,3,3,3,2,2,2,2,2,3)</f>
        <v>3</v>
      </c>
      <c r="D12" s="26">
        <v>3</v>
      </c>
      <c r="E12" s="26">
        <v>3</v>
      </c>
      <c r="F12" s="26">
        <v>3</v>
      </c>
      <c r="G12" s="27">
        <f t="shared" si="0"/>
        <v>13</v>
      </c>
      <c r="H12" s="14"/>
      <c r="J12" s="29">
        <v>9</v>
      </c>
      <c r="K12" s="25">
        <v>2</v>
      </c>
      <c r="L12" s="26">
        <f>MEDIAN(3,3,2,2,3,2,3,3)</f>
        <v>3</v>
      </c>
      <c r="M12" s="26">
        <v>3</v>
      </c>
      <c r="N12" s="26">
        <v>3</v>
      </c>
      <c r="O12" s="26">
        <v>3</v>
      </c>
      <c r="P12" s="27">
        <f t="shared" si="1"/>
        <v>14</v>
      </c>
      <c r="R12" s="28">
        <v>9</v>
      </c>
      <c r="S12" s="25">
        <v>1</v>
      </c>
      <c r="T12" s="26">
        <f>MEDIAN(3,2,3,3,3,2,3)</f>
        <v>3</v>
      </c>
      <c r="U12" s="26">
        <v>3</v>
      </c>
      <c r="V12" s="26">
        <v>1</v>
      </c>
      <c r="W12" s="26">
        <v>1</v>
      </c>
      <c r="X12" s="27">
        <f t="shared" si="2"/>
        <v>9</v>
      </c>
      <c r="Z12" s="28">
        <v>9</v>
      </c>
      <c r="AA12" s="25">
        <v>2</v>
      </c>
      <c r="AB12" s="26">
        <f>MEDIAN(3,3,3,2,2,3,3,2,2,3,1,2,2,2,2,2,2)</f>
        <v>2</v>
      </c>
      <c r="AC12" s="26">
        <v>2</v>
      </c>
      <c r="AD12" s="26" t="s">
        <v>31</v>
      </c>
      <c r="AE12" s="26">
        <v>1</v>
      </c>
      <c r="AF12" s="27">
        <f t="shared" si="3"/>
        <v>7</v>
      </c>
      <c r="AH12" s="30">
        <v>9</v>
      </c>
      <c r="AI12" s="25">
        <v>0</v>
      </c>
      <c r="AJ12" s="26">
        <f>MEDIAN(3,3,2,2,3,2,2,3,3,3,1,3,2,2,2,3,3)</f>
        <v>3</v>
      </c>
      <c r="AK12" s="26">
        <v>2</v>
      </c>
      <c r="AL12" s="26">
        <v>0</v>
      </c>
      <c r="AM12" s="26">
        <v>1</v>
      </c>
      <c r="AN12" s="27">
        <f t="shared" si="4"/>
        <v>6</v>
      </c>
      <c r="AP12" s="24">
        <v>9</v>
      </c>
      <c r="AQ12" s="25">
        <v>3</v>
      </c>
      <c r="AR12" s="26">
        <f>MEDIAN(2,3,3,3,3,2,1)</f>
        <v>3</v>
      </c>
      <c r="AS12" s="26">
        <v>3</v>
      </c>
      <c r="AT12" s="26">
        <v>3</v>
      </c>
      <c r="AU12" s="26">
        <v>3</v>
      </c>
      <c r="AV12" s="27">
        <f t="shared" si="5"/>
        <v>15</v>
      </c>
      <c r="AX12" s="28">
        <v>9</v>
      </c>
      <c r="AY12" s="25">
        <v>2</v>
      </c>
      <c r="AZ12" s="26">
        <f>MEDIAN(2,2,3,2,2,2,2,3,2,3,3,3,3,3,2,2,3,3,2,2,3,3,2,3,3)</f>
        <v>3</v>
      </c>
      <c r="BA12" s="26">
        <v>2</v>
      </c>
      <c r="BB12" s="26" t="s">
        <v>31</v>
      </c>
      <c r="BC12" s="26">
        <v>2</v>
      </c>
      <c r="BD12" s="27">
        <f t="shared" si="6"/>
        <v>9</v>
      </c>
      <c r="BF12" s="28">
        <v>9</v>
      </c>
      <c r="BG12" s="25">
        <v>2</v>
      </c>
      <c r="BH12" s="26">
        <f>MEDIAN(2,2,3,3,3,3,3,2,2)</f>
        <v>3</v>
      </c>
      <c r="BI12" s="26">
        <v>3</v>
      </c>
      <c r="BJ12" s="26">
        <v>3</v>
      </c>
      <c r="BK12" s="26">
        <v>2</v>
      </c>
      <c r="BL12" s="27">
        <f t="shared" si="7"/>
        <v>13</v>
      </c>
      <c r="BM12" s="14"/>
      <c r="BN12" s="28">
        <v>9</v>
      </c>
      <c r="BO12" s="25">
        <v>3</v>
      </c>
      <c r="BP12" s="26" t="s">
        <v>31</v>
      </c>
      <c r="BQ12" s="26">
        <v>1</v>
      </c>
      <c r="BR12" s="26" t="s">
        <v>31</v>
      </c>
      <c r="BS12" s="26">
        <v>2</v>
      </c>
      <c r="BT12" s="27">
        <f t="shared" si="8"/>
        <v>6</v>
      </c>
      <c r="BU12" s="14"/>
      <c r="BV12" s="29">
        <v>9</v>
      </c>
      <c r="BW12" s="25">
        <v>1</v>
      </c>
      <c r="BX12" s="26">
        <f>MEDIAN(3,1,2,3,2,3,3,3,3,2,2,2,2,3,2,3,2,2,2,2)</f>
        <v>2</v>
      </c>
      <c r="BY12" s="26">
        <v>2</v>
      </c>
      <c r="BZ12" s="26">
        <v>2</v>
      </c>
      <c r="CA12" s="26">
        <v>2</v>
      </c>
      <c r="CB12" s="27">
        <f t="shared" si="9"/>
        <v>9</v>
      </c>
      <c r="CC12" s="14"/>
      <c r="CD12" s="28">
        <v>9</v>
      </c>
      <c r="CE12" s="25">
        <v>1</v>
      </c>
      <c r="CF12" s="26">
        <f>MEDIAN(2,1,2,3,2)</f>
        <v>2</v>
      </c>
      <c r="CG12" s="26">
        <v>3</v>
      </c>
      <c r="CH12" s="26">
        <v>0</v>
      </c>
      <c r="CI12" s="26">
        <v>1</v>
      </c>
      <c r="CJ12" s="27">
        <f t="shared" si="10"/>
        <v>7</v>
      </c>
      <c r="CK12" s="14"/>
      <c r="CL12" s="28">
        <v>9</v>
      </c>
      <c r="CM12" s="25">
        <v>1</v>
      </c>
      <c r="CN12" s="26">
        <f>MEDIAN(3,3,3,3,3,3,3,3,3,3,2,2,3,2,2,2,3,3,3,3,3,3,3,2)</f>
        <v>3</v>
      </c>
      <c r="CO12" s="26">
        <v>3</v>
      </c>
      <c r="CP12" s="26">
        <v>3</v>
      </c>
      <c r="CQ12" s="26">
        <v>1</v>
      </c>
      <c r="CR12" s="27">
        <f t="shared" si="11"/>
        <v>11</v>
      </c>
      <c r="CT12" s="28">
        <v>9</v>
      </c>
      <c r="CU12" s="25">
        <v>0</v>
      </c>
      <c r="CV12" s="26">
        <f>MEDIAN(3,3,3,3)</f>
        <v>3</v>
      </c>
      <c r="CW12" s="26">
        <v>2</v>
      </c>
      <c r="CX12" s="26">
        <v>0</v>
      </c>
      <c r="CY12" s="26">
        <v>0</v>
      </c>
      <c r="CZ12" s="27">
        <f t="shared" si="12"/>
        <v>5</v>
      </c>
      <c r="DB12" s="30">
        <v>9</v>
      </c>
      <c r="DC12" s="25">
        <v>1</v>
      </c>
      <c r="DD12" s="26">
        <f>MEDIAN(3,3,3,3,3,2,3,2,3,3,2)</f>
        <v>3</v>
      </c>
      <c r="DE12" s="26">
        <v>3</v>
      </c>
      <c r="DF12" s="26">
        <v>2</v>
      </c>
      <c r="DG12" s="26">
        <v>1</v>
      </c>
      <c r="DH12" s="27">
        <f t="shared" si="13"/>
        <v>10</v>
      </c>
      <c r="DJ12" s="30">
        <v>9</v>
      </c>
      <c r="DK12" s="25">
        <v>1</v>
      </c>
      <c r="DL12" s="26">
        <f>MEDIAN(3,2,3,3,3,3,3,3,3,3,2)</f>
        <v>3</v>
      </c>
      <c r="DM12" s="26">
        <v>2</v>
      </c>
      <c r="DN12" s="26">
        <v>2</v>
      </c>
      <c r="DO12" s="26">
        <v>1</v>
      </c>
      <c r="DP12" s="27">
        <f t="shared" si="14"/>
        <v>9</v>
      </c>
      <c r="DQ12" s="14"/>
      <c r="DR12" s="50" t="s">
        <v>33</v>
      </c>
      <c r="DS12" s="51"/>
      <c r="DT12" s="43"/>
      <c r="DU12" s="43"/>
      <c r="DV12" s="43"/>
      <c r="DW12" s="43"/>
      <c r="DX12" s="44"/>
      <c r="DY12" s="14"/>
      <c r="EA12" s="28">
        <v>9</v>
      </c>
      <c r="EB12" s="52">
        <v>0</v>
      </c>
      <c r="EC12" s="53">
        <f>MEDIAN(3,2,3,2,3,3,3,3,3)</f>
        <v>3</v>
      </c>
      <c r="ED12" s="54">
        <v>3</v>
      </c>
      <c r="EE12" s="54">
        <v>0</v>
      </c>
      <c r="EF12" s="53">
        <v>1</v>
      </c>
      <c r="EG12" s="33">
        <f t="shared" si="17"/>
        <v>7</v>
      </c>
      <c r="EI12" s="34">
        <v>9</v>
      </c>
      <c r="EJ12" s="32">
        <v>1</v>
      </c>
      <c r="EK12" s="32">
        <f>MEDIAN(3,3,3,3,3,2,2,3,3,3,2,2,2,3,2,2,3,3,3,3,3,3,2,2,3,3,3,3,2)</f>
        <v>3</v>
      </c>
      <c r="EL12" s="26">
        <v>3</v>
      </c>
      <c r="EM12" s="26">
        <v>0</v>
      </c>
      <c r="EN12" s="32">
        <v>1</v>
      </c>
      <c r="EO12" s="33">
        <f t="shared" si="18"/>
        <v>8</v>
      </c>
      <c r="EQ12" s="37">
        <v>9</v>
      </c>
      <c r="ER12" s="32">
        <v>0</v>
      </c>
      <c r="ES12" s="32">
        <f>MEDIAN(3,2,3,2)</f>
        <v>2.5</v>
      </c>
      <c r="ET12" s="26">
        <v>3</v>
      </c>
      <c r="EU12" s="45">
        <v>2</v>
      </c>
      <c r="EV12" s="32">
        <v>1</v>
      </c>
      <c r="EW12" s="33">
        <f t="shared" si="19"/>
        <v>8.5</v>
      </c>
      <c r="EY12" s="39">
        <v>9</v>
      </c>
      <c r="EZ12" s="32">
        <v>1</v>
      </c>
      <c r="FA12" s="32">
        <f>MEDIAN(3,3,2,3,2,2,2,1,2,2,3,2,2,2,3,3,2,1,1,3,2,2)</f>
        <v>2</v>
      </c>
      <c r="FB12" s="26">
        <v>2</v>
      </c>
      <c r="FC12" s="45">
        <v>2</v>
      </c>
      <c r="FD12" s="32">
        <v>1</v>
      </c>
      <c r="FE12" s="33">
        <f t="shared" si="20"/>
        <v>8</v>
      </c>
      <c r="FG12" s="34">
        <v>9</v>
      </c>
      <c r="FH12" s="32">
        <v>2</v>
      </c>
      <c r="FI12" s="32">
        <f>MEDIAN(3,3,3,3,2,2,3,3,3,3,3,3,3,3,3,3,3,2,3,2,3,3,3,2,2,3,3,3,3,3,3,3,3,3,3)</f>
        <v>3</v>
      </c>
      <c r="FJ12" s="26">
        <v>2</v>
      </c>
      <c r="FK12" s="45">
        <v>2</v>
      </c>
      <c r="FL12" s="32">
        <v>1</v>
      </c>
      <c r="FM12" s="33">
        <f t="shared" si="40"/>
        <v>10</v>
      </c>
      <c r="FO12" s="37">
        <v>9</v>
      </c>
      <c r="FP12" s="32">
        <v>0</v>
      </c>
      <c r="FQ12" s="32">
        <f>MEDIAN(3,3,3,3,3,3,3,3,2,3,3,2,3,3,3,3)</f>
        <v>3</v>
      </c>
      <c r="FR12" s="26">
        <v>2</v>
      </c>
      <c r="FS12" s="45">
        <v>1</v>
      </c>
      <c r="FT12" s="32">
        <v>1</v>
      </c>
      <c r="FU12" s="33">
        <f t="shared" si="21"/>
        <v>7</v>
      </c>
      <c r="FW12" s="37">
        <v>9</v>
      </c>
      <c r="FX12" s="32">
        <v>0</v>
      </c>
      <c r="FY12" s="32">
        <f>MEDIAN(3,3,2,3,2,2,3,3,3,3,2,3,3,3,3,2,2,2,3,2,3,2,3,3,3)</f>
        <v>3</v>
      </c>
      <c r="FZ12" s="26">
        <v>2</v>
      </c>
      <c r="GA12" s="45">
        <v>2</v>
      </c>
      <c r="GB12" s="32">
        <v>2</v>
      </c>
      <c r="GC12" s="33">
        <f t="shared" si="22"/>
        <v>9</v>
      </c>
      <c r="GE12" s="37">
        <v>9</v>
      </c>
      <c r="GF12" s="32">
        <v>0</v>
      </c>
      <c r="GG12" s="32">
        <f>MEDIAN(3,3,3,3,3,2,2,3,3,2,3,3,3,3,3,3)</f>
        <v>3</v>
      </c>
      <c r="GH12" s="26">
        <v>2</v>
      </c>
      <c r="GI12" s="45">
        <v>1</v>
      </c>
      <c r="GJ12" s="32">
        <v>1</v>
      </c>
      <c r="GK12" s="33">
        <f t="shared" si="23"/>
        <v>7</v>
      </c>
      <c r="GM12" s="37">
        <v>9</v>
      </c>
      <c r="GN12" s="26">
        <v>1</v>
      </c>
      <c r="GO12" s="32">
        <f>MEDIAN(2,2,3,3,3,2,2,2,2,2,3,2)</f>
        <v>2</v>
      </c>
      <c r="GP12" s="26">
        <v>2</v>
      </c>
      <c r="GQ12" s="26">
        <v>0</v>
      </c>
      <c r="GR12" s="32">
        <v>1</v>
      </c>
      <c r="GS12" s="33">
        <f t="shared" si="24"/>
        <v>6</v>
      </c>
      <c r="GU12" s="34">
        <v>9</v>
      </c>
      <c r="GV12" s="32">
        <v>0</v>
      </c>
      <c r="GW12" s="32">
        <f>MEDIAN(2,3,3,2,3,3,2,3,3,3,3,3,3,2,3,3,3,3,2,3)</f>
        <v>3</v>
      </c>
      <c r="GX12" s="26">
        <v>2</v>
      </c>
      <c r="GY12" s="45">
        <v>1</v>
      </c>
      <c r="GZ12" s="32">
        <v>2</v>
      </c>
      <c r="HA12" s="33">
        <f t="shared" si="25"/>
        <v>8</v>
      </c>
      <c r="HC12" s="35">
        <v>9</v>
      </c>
      <c r="HD12" s="32">
        <v>2</v>
      </c>
      <c r="HE12" s="32">
        <f>MEDIAN(3,3,2,2,2,3,3,2)</f>
        <v>2.5</v>
      </c>
      <c r="HF12" s="26">
        <v>2</v>
      </c>
      <c r="HG12" s="45">
        <v>2</v>
      </c>
      <c r="HH12" s="32">
        <v>1</v>
      </c>
      <c r="HI12" s="33">
        <f t="shared" si="26"/>
        <v>9.5</v>
      </c>
      <c r="HK12" s="34">
        <v>9</v>
      </c>
      <c r="HL12" s="32">
        <v>0</v>
      </c>
      <c r="HM12" s="32">
        <f>MEDIAN(3,3,2,3,2,3,3,3,2,1,2,3,2,2,2,3,2,3,2,2,2,3,2,3,2)</f>
        <v>2</v>
      </c>
      <c r="HN12" s="26">
        <v>2</v>
      </c>
      <c r="HO12" s="26">
        <v>2</v>
      </c>
      <c r="HP12" s="32">
        <v>1</v>
      </c>
      <c r="HQ12" s="33">
        <f t="shared" si="27"/>
        <v>7</v>
      </c>
      <c r="HS12" s="37">
        <v>9</v>
      </c>
      <c r="HT12" s="32">
        <v>1</v>
      </c>
      <c r="HU12" s="32">
        <f>MEDIAN(2,3)</f>
        <v>2.5</v>
      </c>
      <c r="HV12" s="26">
        <v>2</v>
      </c>
      <c r="HW12" s="26">
        <v>1</v>
      </c>
      <c r="HX12" s="32">
        <v>1</v>
      </c>
      <c r="HY12" s="33">
        <f t="shared" si="28"/>
        <v>7.5</v>
      </c>
      <c r="IA12" s="34">
        <v>9</v>
      </c>
      <c r="IB12" s="32">
        <v>0</v>
      </c>
      <c r="IC12" s="32">
        <f>MEDIAN(3,3,2,2,2,3,2,3,2,2,2,3,2,2,2)</f>
        <v>2</v>
      </c>
      <c r="ID12" s="26">
        <v>3</v>
      </c>
      <c r="IE12" s="26">
        <v>1</v>
      </c>
      <c r="IF12" s="32">
        <v>1</v>
      </c>
      <c r="IG12" s="33">
        <f t="shared" si="29"/>
        <v>7</v>
      </c>
      <c r="II12" s="42">
        <v>9</v>
      </c>
      <c r="IJ12" s="43"/>
      <c r="IK12" s="43"/>
      <c r="IL12" s="43"/>
      <c r="IM12" s="43"/>
      <c r="IN12" s="43"/>
      <c r="IO12" s="44"/>
      <c r="IQ12" s="37">
        <v>9</v>
      </c>
      <c r="IR12" s="32">
        <v>0</v>
      </c>
      <c r="IS12" s="32">
        <f>MEDIAN(3,3,2,2,3,3,3)</f>
        <v>3</v>
      </c>
      <c r="IT12" s="26">
        <v>1</v>
      </c>
      <c r="IU12" s="26">
        <v>1</v>
      </c>
      <c r="IV12" s="32">
        <v>1</v>
      </c>
      <c r="IW12" s="33">
        <f t="shared" si="30"/>
        <v>6</v>
      </c>
      <c r="IY12" s="34">
        <v>9</v>
      </c>
      <c r="IZ12" s="32">
        <v>0</v>
      </c>
      <c r="JA12" s="32">
        <f>MEDIAN(2,3,3,3,3,3,3,2,2,3,2,3,2,3)</f>
        <v>3</v>
      </c>
      <c r="JB12" s="26">
        <v>3</v>
      </c>
      <c r="JC12" s="26">
        <v>0</v>
      </c>
      <c r="JD12" s="32">
        <v>1</v>
      </c>
      <c r="JE12" s="33">
        <f t="shared" si="31"/>
        <v>7</v>
      </c>
      <c r="JG12" s="34">
        <v>9</v>
      </c>
      <c r="JH12" s="32">
        <v>2</v>
      </c>
      <c r="JI12" s="32">
        <f>MEDIAN(3,3,3,3,3,3,3,3,3,2,3,3,2,2,3,3,2,2,3,3,2,3,2,3,3,3,3,3,3,3,3,2,3,3,2,2,2,2,2,2,3,3)</f>
        <v>3</v>
      </c>
      <c r="JJ12" s="26">
        <v>1</v>
      </c>
      <c r="JK12" s="26">
        <v>3</v>
      </c>
      <c r="JL12" s="32">
        <v>1</v>
      </c>
      <c r="JM12" s="33">
        <f t="shared" si="32"/>
        <v>10</v>
      </c>
      <c r="JO12" s="37">
        <v>9</v>
      </c>
      <c r="JP12" s="32">
        <v>1</v>
      </c>
      <c r="JQ12" s="32">
        <f>MEDIAN(2,3,2,2,3,2,3,3,2,3,3,3,2,3,2,2,3,3,3)</f>
        <v>3</v>
      </c>
      <c r="JR12" s="26">
        <v>2</v>
      </c>
      <c r="JS12" s="26">
        <v>2</v>
      </c>
      <c r="JT12" s="32">
        <v>1</v>
      </c>
      <c r="JU12" s="33">
        <f t="shared" si="33"/>
        <v>9</v>
      </c>
      <c r="JW12" s="37">
        <v>9</v>
      </c>
      <c r="JX12" s="32">
        <v>0</v>
      </c>
      <c r="JY12" s="32">
        <f>MEDIAN(3,2,3,3,3,3,2,3,3,2,3,2,2,3,3,3,3,3,2,3,2,3,3,2,3,3)</f>
        <v>3</v>
      </c>
      <c r="JZ12" s="26">
        <v>2</v>
      </c>
      <c r="KA12" s="26">
        <v>0</v>
      </c>
      <c r="KB12" s="32">
        <v>1</v>
      </c>
      <c r="KC12" s="33">
        <f t="shared" si="34"/>
        <v>6</v>
      </c>
      <c r="KE12" s="37">
        <v>9</v>
      </c>
      <c r="KF12" s="32">
        <v>1</v>
      </c>
      <c r="KG12" s="32">
        <f>MEDIAN(3,2,3,2,3,3,3)</f>
        <v>3</v>
      </c>
      <c r="KH12" s="26">
        <v>2</v>
      </c>
      <c r="KI12" s="26">
        <v>1</v>
      </c>
      <c r="KJ12" s="32">
        <v>1</v>
      </c>
      <c r="KK12" s="33">
        <f t="shared" si="35"/>
        <v>8</v>
      </c>
      <c r="KM12" s="37">
        <v>9</v>
      </c>
      <c r="KN12" s="32">
        <v>2</v>
      </c>
      <c r="KO12" s="32">
        <f>MEDIAN(3,3,3,3,3,3,3,2,2,3,3,3,3,3,3,3,3,3,3)</f>
        <v>3</v>
      </c>
      <c r="KP12" s="26">
        <v>2</v>
      </c>
      <c r="KQ12" s="26">
        <v>1</v>
      </c>
      <c r="KR12" s="32">
        <v>3</v>
      </c>
      <c r="KS12" s="33">
        <f t="shared" si="36"/>
        <v>11</v>
      </c>
      <c r="KU12" s="37">
        <v>9</v>
      </c>
      <c r="KV12" s="32">
        <v>1</v>
      </c>
      <c r="KW12" s="32">
        <f>MEDIAN(3,3,3,3,3,2,2)</f>
        <v>3</v>
      </c>
      <c r="KX12" s="26">
        <v>3</v>
      </c>
      <c r="KY12" s="26">
        <v>1</v>
      </c>
      <c r="KZ12" s="32">
        <v>1</v>
      </c>
      <c r="LA12" s="33">
        <f t="shared" si="37"/>
        <v>9</v>
      </c>
      <c r="LC12" s="34">
        <v>9</v>
      </c>
      <c r="LD12" s="32">
        <v>2</v>
      </c>
      <c r="LE12" s="32">
        <f>MEDIAN(3,3,3,3,3,3,3,3,3,3,3,3,3,3,2,3,3,2,2,3,3,2,2,3,3,3,2,3,3,3,3)</f>
        <v>3</v>
      </c>
      <c r="LF12" s="26">
        <v>2</v>
      </c>
      <c r="LG12" s="36" t="s">
        <v>31</v>
      </c>
      <c r="LH12" s="32">
        <v>2</v>
      </c>
      <c r="LI12" s="33">
        <f t="shared" si="38"/>
        <v>9</v>
      </c>
      <c r="LJ12">
        <f t="shared" si="41"/>
        <v>11.25</v>
      </c>
      <c r="LK12" s="34">
        <v>9</v>
      </c>
      <c r="LL12" s="32">
        <v>1</v>
      </c>
      <c r="LM12" s="32">
        <f>MEDIAN(3,2,2,3,2,2,3,3,3,2,3,3,3)</f>
        <v>3</v>
      </c>
      <c r="LN12" s="26">
        <v>3</v>
      </c>
      <c r="LO12" s="45" t="s">
        <v>31</v>
      </c>
      <c r="LP12" s="32">
        <v>1</v>
      </c>
      <c r="LQ12" s="33">
        <f t="shared" si="39"/>
        <v>8</v>
      </c>
      <c r="LR12">
        <f>LQ12*(5/4)</f>
        <v>10</v>
      </c>
    </row>
    <row r="13" spans="1:330" ht="15" thickBot="1" x14ac:dyDescent="0.4">
      <c r="A13" s="24">
        <v>10</v>
      </c>
      <c r="B13" s="25">
        <v>2</v>
      </c>
      <c r="C13" s="26">
        <f>MEDIAN(3,2,2,2,3,3,2,3)</f>
        <v>2.5</v>
      </c>
      <c r="D13" s="26">
        <v>2</v>
      </c>
      <c r="E13" s="26">
        <v>3</v>
      </c>
      <c r="F13" s="26">
        <v>2</v>
      </c>
      <c r="G13" s="27">
        <f t="shared" si="0"/>
        <v>11.5</v>
      </c>
      <c r="H13" s="14"/>
      <c r="J13" s="28">
        <v>10</v>
      </c>
      <c r="K13" s="25">
        <v>1</v>
      </c>
      <c r="L13" s="26">
        <f>MEDIAN(3,2,3,2,3,3,2,2,2,2,2,3,2,2,3,3,3,2,2)</f>
        <v>2</v>
      </c>
      <c r="M13" s="26">
        <v>3</v>
      </c>
      <c r="N13" s="26">
        <v>3</v>
      </c>
      <c r="O13" s="26">
        <v>1</v>
      </c>
      <c r="P13" s="27">
        <f t="shared" si="1"/>
        <v>10</v>
      </c>
      <c r="R13" s="30">
        <v>10</v>
      </c>
      <c r="S13" s="25">
        <v>2</v>
      </c>
      <c r="T13" s="26">
        <f>MEDIAN(2,2,3,2,3)</f>
        <v>2</v>
      </c>
      <c r="U13" s="26">
        <v>2</v>
      </c>
      <c r="V13" s="26">
        <v>2</v>
      </c>
      <c r="W13" s="26">
        <v>2</v>
      </c>
      <c r="X13" s="27">
        <f t="shared" si="2"/>
        <v>10</v>
      </c>
      <c r="Z13" s="28">
        <v>10</v>
      </c>
      <c r="AA13" s="25">
        <v>2</v>
      </c>
      <c r="AB13" s="26">
        <f>MEDIAN(2,2,3,3,3,3,3,3,2,2,2,2,2)</f>
        <v>2</v>
      </c>
      <c r="AC13" s="26">
        <v>2</v>
      </c>
      <c r="AD13" s="26" t="s">
        <v>31</v>
      </c>
      <c r="AE13" s="26">
        <v>1</v>
      </c>
      <c r="AF13" s="27">
        <f t="shared" si="3"/>
        <v>7</v>
      </c>
      <c r="AH13" s="28">
        <v>10</v>
      </c>
      <c r="AI13" s="25">
        <v>2</v>
      </c>
      <c r="AJ13" s="26">
        <f>MEDIAN(3,2,3,2)</f>
        <v>2.5</v>
      </c>
      <c r="AK13" s="26">
        <v>3</v>
      </c>
      <c r="AL13" s="26">
        <v>1</v>
      </c>
      <c r="AM13" s="26">
        <v>1</v>
      </c>
      <c r="AN13" s="27">
        <f t="shared" si="4"/>
        <v>9.5</v>
      </c>
      <c r="AP13" s="24">
        <v>10</v>
      </c>
      <c r="AQ13" s="25">
        <v>2</v>
      </c>
      <c r="AR13" s="26" t="s">
        <v>31</v>
      </c>
      <c r="AS13" s="26">
        <v>3</v>
      </c>
      <c r="AT13" s="26">
        <v>2</v>
      </c>
      <c r="AU13" s="26">
        <v>3</v>
      </c>
      <c r="AV13" s="27">
        <f t="shared" si="5"/>
        <v>10</v>
      </c>
      <c r="AX13" s="30">
        <v>10</v>
      </c>
      <c r="AY13" s="25">
        <v>2</v>
      </c>
      <c r="AZ13" s="26">
        <f>MEDIAN(3,3,2,3,1,3,2,2)</f>
        <v>2.5</v>
      </c>
      <c r="BA13" s="26">
        <v>3</v>
      </c>
      <c r="BB13" s="26">
        <v>0</v>
      </c>
      <c r="BC13" s="26">
        <v>1</v>
      </c>
      <c r="BD13" s="27">
        <f t="shared" si="6"/>
        <v>8.5</v>
      </c>
      <c r="BF13" s="24">
        <v>10</v>
      </c>
      <c r="BG13" s="25">
        <v>2</v>
      </c>
      <c r="BH13" s="26">
        <f>MEDIAN(2,3,2,1,2,2,2,3)</f>
        <v>2</v>
      </c>
      <c r="BI13" s="26">
        <v>3</v>
      </c>
      <c r="BJ13" s="26">
        <v>3</v>
      </c>
      <c r="BK13" s="26">
        <v>3</v>
      </c>
      <c r="BL13" s="27">
        <f t="shared" si="7"/>
        <v>13</v>
      </c>
      <c r="BM13" s="14"/>
      <c r="BN13" s="28">
        <v>10</v>
      </c>
      <c r="BO13" s="25">
        <v>3</v>
      </c>
      <c r="BP13" s="26">
        <f>MEDIAN(3,3,3,3,3)</f>
        <v>3</v>
      </c>
      <c r="BQ13" s="26">
        <v>1</v>
      </c>
      <c r="BR13" s="26" t="s">
        <v>31</v>
      </c>
      <c r="BS13" s="26">
        <v>1</v>
      </c>
      <c r="BT13" s="27">
        <f t="shared" si="8"/>
        <v>8</v>
      </c>
      <c r="BU13" s="14"/>
      <c r="BV13" s="29">
        <v>10</v>
      </c>
      <c r="BW13" s="25">
        <v>0</v>
      </c>
      <c r="BX13" s="26">
        <f>MEDIAN(3,3,3,2,3,3,2,2,3,2,3,3,3,3,3)</f>
        <v>3</v>
      </c>
      <c r="BY13" s="26">
        <v>3</v>
      </c>
      <c r="BZ13" s="26">
        <v>2</v>
      </c>
      <c r="CA13" s="26">
        <v>1</v>
      </c>
      <c r="CB13" s="27">
        <f t="shared" si="9"/>
        <v>9</v>
      </c>
      <c r="CC13" s="14"/>
      <c r="CD13" s="28">
        <v>10</v>
      </c>
      <c r="CE13" s="25">
        <v>0</v>
      </c>
      <c r="CF13" s="26">
        <f>MEDIAN(2,2,2,2,2,1,2,2,2,3,3,2)</f>
        <v>2</v>
      </c>
      <c r="CG13" s="26">
        <v>2</v>
      </c>
      <c r="CH13" s="26" t="s">
        <v>31</v>
      </c>
      <c r="CI13" s="26">
        <v>3</v>
      </c>
      <c r="CJ13" s="27">
        <f t="shared" si="10"/>
        <v>7</v>
      </c>
      <c r="CK13" s="14"/>
      <c r="CL13" s="30">
        <v>10</v>
      </c>
      <c r="CM13" s="25">
        <v>0</v>
      </c>
      <c r="CN13" s="26">
        <f>MEDIAN(3,3,2,2,1,2,2,3,2,3,3,3,3,2,3,3,2,3,3)</f>
        <v>3</v>
      </c>
      <c r="CO13" s="26">
        <v>2</v>
      </c>
      <c r="CP13" s="26">
        <v>2</v>
      </c>
      <c r="CQ13" s="26">
        <v>1</v>
      </c>
      <c r="CR13" s="27">
        <f t="shared" si="11"/>
        <v>8</v>
      </c>
      <c r="CT13" s="24">
        <v>10</v>
      </c>
      <c r="CU13" s="25">
        <v>1</v>
      </c>
      <c r="CV13" s="26">
        <f>MEDIAN(3,3,3,3)</f>
        <v>3</v>
      </c>
      <c r="CW13" s="26">
        <v>3</v>
      </c>
      <c r="CX13" s="26">
        <v>1</v>
      </c>
      <c r="CY13" s="26">
        <v>1</v>
      </c>
      <c r="CZ13" s="27">
        <f t="shared" si="12"/>
        <v>9</v>
      </c>
      <c r="DB13" s="30">
        <v>10</v>
      </c>
      <c r="DC13" s="25">
        <v>1</v>
      </c>
      <c r="DD13" s="26">
        <f>MEDIAN(3,3,2,3,2,3,2,2,2,2,3,3,3,2,3,3,3,2)</f>
        <v>3</v>
      </c>
      <c r="DE13" s="26">
        <v>3</v>
      </c>
      <c r="DF13" s="26">
        <v>2</v>
      </c>
      <c r="DG13" s="26">
        <v>1</v>
      </c>
      <c r="DH13" s="27">
        <f t="shared" si="13"/>
        <v>10</v>
      </c>
      <c r="DJ13" s="30">
        <v>10</v>
      </c>
      <c r="DK13" s="25">
        <v>1</v>
      </c>
      <c r="DL13" s="26">
        <f>MEDIAN(3,3,3,3,2,2)</f>
        <v>3</v>
      </c>
      <c r="DM13" s="26">
        <v>3</v>
      </c>
      <c r="DN13" s="26">
        <v>1</v>
      </c>
      <c r="DO13" s="26">
        <v>2</v>
      </c>
      <c r="DP13" s="27">
        <f t="shared" si="14"/>
        <v>10</v>
      </c>
      <c r="DQ13" s="14"/>
      <c r="DR13" s="29">
        <v>10</v>
      </c>
      <c r="DS13" s="25">
        <v>1</v>
      </c>
      <c r="DT13" s="26">
        <f>MEDIAN(2,3,2,3,3,3,3,3,3,3,3,2,3)</f>
        <v>3</v>
      </c>
      <c r="DU13" s="26">
        <v>2</v>
      </c>
      <c r="DV13" s="45" t="s">
        <v>31</v>
      </c>
      <c r="DW13" s="26">
        <v>2</v>
      </c>
      <c r="DX13" s="27">
        <f t="shared" si="15"/>
        <v>8</v>
      </c>
      <c r="DY13" s="14"/>
      <c r="EA13" s="34">
        <v>10</v>
      </c>
      <c r="EB13" s="48">
        <v>0</v>
      </c>
      <c r="EC13" s="49">
        <f>MEDIAN(3,3,3,3,3,3,3,3,3,3,3,2,1,3,3,3,2,3,3,2)</f>
        <v>3</v>
      </c>
      <c r="ED13" s="48">
        <v>2</v>
      </c>
      <c r="EE13" s="48">
        <v>1</v>
      </c>
      <c r="EF13" s="49">
        <v>1</v>
      </c>
      <c r="EG13" s="33">
        <f t="shared" si="17"/>
        <v>7</v>
      </c>
      <c r="EI13" s="34">
        <v>10</v>
      </c>
      <c r="EJ13" s="32">
        <v>0</v>
      </c>
      <c r="EK13" s="32">
        <f>MEDIAN(3,3,3,3,3,3,3,3,3)</f>
        <v>3</v>
      </c>
      <c r="EL13" s="26">
        <v>3</v>
      </c>
      <c r="EM13" s="26">
        <v>1</v>
      </c>
      <c r="EN13" s="32">
        <v>1</v>
      </c>
      <c r="EO13" s="33">
        <f t="shared" si="18"/>
        <v>8</v>
      </c>
      <c r="EQ13" s="37">
        <v>10</v>
      </c>
      <c r="ER13" s="32">
        <v>0</v>
      </c>
      <c r="ES13" s="32">
        <f>MEDIAN(2,3,2,2,2,3,2)</f>
        <v>2</v>
      </c>
      <c r="ET13" s="26">
        <v>2</v>
      </c>
      <c r="EU13" s="45">
        <v>1</v>
      </c>
      <c r="EV13" s="32">
        <v>0</v>
      </c>
      <c r="EW13" s="33">
        <f t="shared" si="19"/>
        <v>5</v>
      </c>
      <c r="EY13" s="34">
        <v>10</v>
      </c>
      <c r="EZ13" s="32">
        <v>0</v>
      </c>
      <c r="FA13" s="32">
        <f>MEDIAN(3,2,2,3,2,2,3,3,2,2,3,3,3,3,3,2,3,2,2)</f>
        <v>3</v>
      </c>
      <c r="FB13" s="26">
        <v>3</v>
      </c>
      <c r="FC13" s="45">
        <v>1</v>
      </c>
      <c r="FD13" s="32">
        <v>1</v>
      </c>
      <c r="FE13" s="33">
        <f t="shared" si="20"/>
        <v>8</v>
      </c>
      <c r="FG13" s="35">
        <v>10</v>
      </c>
      <c r="FH13" s="32">
        <v>1</v>
      </c>
      <c r="FI13" s="32">
        <f>MEDIAN(3,3,2,2,3,3,3,3,3,3,3,2,2,2,3,3,2,2,3,2,3,3,3,3)</f>
        <v>3</v>
      </c>
      <c r="FJ13" s="26">
        <v>3</v>
      </c>
      <c r="FK13" s="45" t="s">
        <v>31</v>
      </c>
      <c r="FL13" s="32">
        <v>1</v>
      </c>
      <c r="FM13" s="33">
        <f t="shared" si="40"/>
        <v>8</v>
      </c>
      <c r="FN13">
        <f>FM13*(5/4)</f>
        <v>10</v>
      </c>
      <c r="FO13" s="37">
        <v>10</v>
      </c>
      <c r="FP13" s="32">
        <v>0</v>
      </c>
      <c r="FQ13" s="32">
        <f>MEDIAN(2,2,3,3,3,1,3,3)</f>
        <v>3</v>
      </c>
      <c r="FR13" s="26">
        <v>2</v>
      </c>
      <c r="FS13" s="45">
        <v>2</v>
      </c>
      <c r="FT13" s="32">
        <v>1</v>
      </c>
      <c r="FU13" s="33">
        <f t="shared" si="21"/>
        <v>8</v>
      </c>
      <c r="FW13" s="35">
        <v>10</v>
      </c>
      <c r="FX13" s="32">
        <v>1</v>
      </c>
      <c r="FY13" s="32">
        <f>MEDIAN(2,2,1,3,1,3,3,3,0,3,3,3,3)</f>
        <v>3</v>
      </c>
      <c r="FZ13" s="26">
        <v>3</v>
      </c>
      <c r="GA13" s="45">
        <v>2</v>
      </c>
      <c r="GB13" s="32">
        <v>2</v>
      </c>
      <c r="GC13" s="33">
        <f t="shared" si="22"/>
        <v>11</v>
      </c>
      <c r="GE13" s="37">
        <v>10</v>
      </c>
      <c r="GF13" s="32">
        <v>0</v>
      </c>
      <c r="GG13" s="32">
        <f>MEDIAN(3,3,3,2,3,2,3,2,3,2,2,3,2,2,3)</f>
        <v>3</v>
      </c>
      <c r="GH13" s="26">
        <v>2</v>
      </c>
      <c r="GI13" s="45">
        <v>1</v>
      </c>
      <c r="GJ13" s="32">
        <v>0</v>
      </c>
      <c r="GK13" s="33">
        <f t="shared" si="23"/>
        <v>6</v>
      </c>
      <c r="GM13" s="37">
        <v>10</v>
      </c>
      <c r="GN13" s="26">
        <v>0</v>
      </c>
      <c r="GO13" s="32">
        <f>MEDIAN(2,2,2,2,3,2,3,2,2,3,2,2,3,3)</f>
        <v>2</v>
      </c>
      <c r="GP13" s="26">
        <v>2</v>
      </c>
      <c r="GQ13" s="26">
        <v>0</v>
      </c>
      <c r="GR13" s="32">
        <v>1</v>
      </c>
      <c r="GS13" s="33">
        <f t="shared" si="24"/>
        <v>5</v>
      </c>
      <c r="GU13" s="34">
        <v>10</v>
      </c>
      <c r="GV13" s="32">
        <v>0</v>
      </c>
      <c r="GW13" s="32">
        <f>MEDIAN(3,3,3,3,3,2,3,2,3)</f>
        <v>3</v>
      </c>
      <c r="GX13" s="26">
        <v>2</v>
      </c>
      <c r="GY13" s="45">
        <v>1</v>
      </c>
      <c r="GZ13" s="32">
        <v>0</v>
      </c>
      <c r="HA13" s="33">
        <f t="shared" si="25"/>
        <v>6</v>
      </c>
      <c r="HC13" s="37">
        <v>10</v>
      </c>
      <c r="HD13" s="32">
        <v>2</v>
      </c>
      <c r="HE13" s="32">
        <f>MEDIAN(2,1,2,2,2,2,3,2,2)</f>
        <v>2</v>
      </c>
      <c r="HF13" s="26">
        <v>2</v>
      </c>
      <c r="HG13" s="45">
        <v>3</v>
      </c>
      <c r="HH13" s="32">
        <v>2</v>
      </c>
      <c r="HI13" s="33">
        <f t="shared" si="26"/>
        <v>11</v>
      </c>
      <c r="HK13" s="34">
        <v>10</v>
      </c>
      <c r="HL13" s="32">
        <v>0</v>
      </c>
      <c r="HM13" s="32">
        <f>MEDIAN(3,2,3,3,3,1,2,2,3,2,3,3,3,3,3,3,3,2,3,3,3,3)</f>
        <v>3</v>
      </c>
      <c r="HN13" s="26">
        <v>3</v>
      </c>
      <c r="HO13" s="26">
        <v>1</v>
      </c>
      <c r="HP13" s="32">
        <v>1</v>
      </c>
      <c r="HQ13" s="33">
        <f t="shared" si="27"/>
        <v>8</v>
      </c>
      <c r="HS13" s="37">
        <v>10</v>
      </c>
      <c r="HT13" s="32">
        <v>0</v>
      </c>
      <c r="HU13" s="32">
        <f>MEDIAN(3,3,3,2,2,3)</f>
        <v>3</v>
      </c>
      <c r="HV13" s="26">
        <v>2</v>
      </c>
      <c r="HW13" s="26">
        <v>0</v>
      </c>
      <c r="HX13" s="32">
        <v>1</v>
      </c>
      <c r="HY13" s="33">
        <f t="shared" si="28"/>
        <v>6</v>
      </c>
      <c r="IA13" s="34">
        <v>10</v>
      </c>
      <c r="IB13" s="32">
        <v>0</v>
      </c>
      <c r="IC13" s="32">
        <f>MEDIAN(3,3,2,3,2,3,3,3,2,3,2,2,3,3,2,2,3,2,3,2,3,3,2,3,3,3,3,3,3,3,3,3,2,3,3,3,2,2,3,3)</f>
        <v>3</v>
      </c>
      <c r="ID13" s="26">
        <v>3</v>
      </c>
      <c r="IE13" s="26">
        <v>1</v>
      </c>
      <c r="IF13" s="32">
        <v>1</v>
      </c>
      <c r="IG13" s="33">
        <f t="shared" si="29"/>
        <v>8</v>
      </c>
      <c r="II13" s="42">
        <v>10</v>
      </c>
      <c r="IJ13" s="43"/>
      <c r="IK13" s="43"/>
      <c r="IL13" s="43"/>
      <c r="IM13" s="43"/>
      <c r="IN13" s="43"/>
      <c r="IO13" s="44"/>
      <c r="IQ13" s="37">
        <v>10</v>
      </c>
      <c r="IR13" s="32">
        <v>0</v>
      </c>
      <c r="IS13" s="32">
        <f>MEDIAN(3,3,3,2,3,3,3,3,3,3,3)</f>
        <v>3</v>
      </c>
      <c r="IT13" s="26">
        <v>1</v>
      </c>
      <c r="IU13" s="26">
        <v>1</v>
      </c>
      <c r="IV13" s="32">
        <v>0</v>
      </c>
      <c r="IW13" s="33">
        <f t="shared" si="30"/>
        <v>5</v>
      </c>
      <c r="IY13" s="34">
        <v>10</v>
      </c>
      <c r="IZ13" s="32">
        <v>0</v>
      </c>
      <c r="JA13" s="32">
        <f>MEDIAN(3,3,3,3,3,1,2,2,3,2,3,3,2,3,3,2,3,3,3,3,2)</f>
        <v>3</v>
      </c>
      <c r="JB13" s="26">
        <v>3</v>
      </c>
      <c r="JC13" s="26">
        <v>0</v>
      </c>
      <c r="JD13" s="32">
        <v>1</v>
      </c>
      <c r="JE13" s="33">
        <f t="shared" si="31"/>
        <v>7</v>
      </c>
      <c r="JG13" s="34">
        <v>10</v>
      </c>
      <c r="JH13" s="32">
        <v>0</v>
      </c>
      <c r="JI13" s="32">
        <f>MEDIAN(3,3,3,2,3,2,2,2,3,2,3,3,3,2,3,3,3,3,3,2,2,2,2)</f>
        <v>3</v>
      </c>
      <c r="JJ13" s="26">
        <v>2</v>
      </c>
      <c r="JK13" s="26">
        <v>1</v>
      </c>
      <c r="JL13" s="32">
        <v>1</v>
      </c>
      <c r="JM13" s="33">
        <f t="shared" si="32"/>
        <v>7</v>
      </c>
      <c r="JO13" s="35">
        <v>10</v>
      </c>
      <c r="JP13" s="32">
        <v>2</v>
      </c>
      <c r="JQ13" s="32">
        <f>MEDIAN(2,3,3,3,2,2,3,3,3,3,3,3,3,3,3,3,2,3,3,2,3,3,3,3,3,3,3,3,3,2,2,3,3,2,2)</f>
        <v>3</v>
      </c>
      <c r="JR13" s="26">
        <v>3</v>
      </c>
      <c r="JS13" s="26">
        <v>3</v>
      </c>
      <c r="JT13" s="32">
        <v>1</v>
      </c>
      <c r="JU13" s="33">
        <f t="shared" si="33"/>
        <v>12</v>
      </c>
      <c r="JW13" s="34">
        <v>10</v>
      </c>
      <c r="JX13" s="32">
        <v>1</v>
      </c>
      <c r="JY13" s="32">
        <f>MEDIAN(3,3,3,2,3,3,3,3,3,2,3,2,3,2,3,3,3,2,2,3,2,3,2,3,3,3,3,3,3,2,2,3,3,3,3,2,3,3,3,3,3,3,3,2,3,3,3,3,3)</f>
        <v>3</v>
      </c>
      <c r="JZ13" s="26">
        <v>2</v>
      </c>
      <c r="KA13" s="26">
        <v>1</v>
      </c>
      <c r="KB13" s="32">
        <v>1</v>
      </c>
      <c r="KC13" s="33">
        <f t="shared" si="34"/>
        <v>8</v>
      </c>
      <c r="KE13" s="37">
        <v>10</v>
      </c>
      <c r="KF13" s="32">
        <v>1</v>
      </c>
      <c r="KG13" s="32">
        <f>MEDIAN(3,2,2)</f>
        <v>2</v>
      </c>
      <c r="KH13" s="26">
        <v>2</v>
      </c>
      <c r="KI13" s="26">
        <v>2</v>
      </c>
      <c r="KJ13" s="32">
        <v>1</v>
      </c>
      <c r="KK13" s="33">
        <f t="shared" si="35"/>
        <v>8</v>
      </c>
      <c r="KM13" s="37">
        <v>10</v>
      </c>
      <c r="KN13" s="32">
        <v>0</v>
      </c>
      <c r="KO13" s="32">
        <f>MEDIAN(2,3,3,3,3,3,3,2,3,3,3,2,2,3,2,3,3,2)</f>
        <v>3</v>
      </c>
      <c r="KP13" s="26">
        <v>2</v>
      </c>
      <c r="KQ13" s="26">
        <v>1</v>
      </c>
      <c r="KR13" s="32">
        <v>1</v>
      </c>
      <c r="KS13" s="33">
        <f t="shared" si="36"/>
        <v>7</v>
      </c>
      <c r="KU13" s="37">
        <v>10</v>
      </c>
      <c r="KV13" s="32">
        <v>0</v>
      </c>
      <c r="KW13" s="32">
        <f>MEDIAN(3,3,2,3,3,2,3,2,3,2,3,3,3,3,3,3,3,3)</f>
        <v>3</v>
      </c>
      <c r="KX13" s="26">
        <v>2</v>
      </c>
      <c r="KY13" s="26">
        <v>1</v>
      </c>
      <c r="KZ13" s="32">
        <v>1</v>
      </c>
      <c r="LA13" s="33">
        <f t="shared" si="37"/>
        <v>7</v>
      </c>
      <c r="LC13" s="34">
        <v>10</v>
      </c>
      <c r="LD13" s="32">
        <v>2</v>
      </c>
      <c r="LE13" s="32">
        <f>MEDIAN(3,3,3,2,3,3,3,2,3,3,3,3,3)</f>
        <v>3</v>
      </c>
      <c r="LF13" s="26">
        <v>3</v>
      </c>
      <c r="LG13" s="36" t="s">
        <v>31</v>
      </c>
      <c r="LH13" s="32">
        <v>3</v>
      </c>
      <c r="LI13" s="33">
        <f t="shared" si="38"/>
        <v>11</v>
      </c>
      <c r="LJ13">
        <f t="shared" si="41"/>
        <v>13.75</v>
      </c>
      <c r="LK13" s="34">
        <v>10</v>
      </c>
      <c r="LL13" s="32">
        <v>0</v>
      </c>
      <c r="LM13" s="32">
        <f>MEDIAN(3,3,3,2,2,3,3)</f>
        <v>3</v>
      </c>
      <c r="LN13" s="26">
        <v>3</v>
      </c>
      <c r="LO13" s="26">
        <v>3</v>
      </c>
      <c r="LP13" s="32">
        <v>2</v>
      </c>
      <c r="LQ13" s="33">
        <f t="shared" si="39"/>
        <v>11</v>
      </c>
    </row>
    <row r="14" spans="1:330" x14ac:dyDescent="0.35">
      <c r="A14" s="28">
        <v>11</v>
      </c>
      <c r="B14" s="25">
        <v>1</v>
      </c>
      <c r="C14" s="26">
        <f>MEDIAN(2,3,3,2,3,2,3,3,3,2,3,3,2,3,3,2,3,2)</f>
        <v>3</v>
      </c>
      <c r="D14" s="26">
        <v>2</v>
      </c>
      <c r="E14" s="26">
        <v>3</v>
      </c>
      <c r="F14" s="26">
        <v>3</v>
      </c>
      <c r="G14" s="27">
        <f t="shared" si="0"/>
        <v>12</v>
      </c>
      <c r="H14" s="14"/>
      <c r="J14" s="28">
        <v>11</v>
      </c>
      <c r="K14" s="25">
        <v>2</v>
      </c>
      <c r="L14" s="26">
        <f>MEDIAN(3,3,3,3,3,2,3)</f>
        <v>3</v>
      </c>
      <c r="M14" s="26">
        <v>2</v>
      </c>
      <c r="N14" s="26">
        <v>3</v>
      </c>
      <c r="O14" s="26">
        <v>2</v>
      </c>
      <c r="P14" s="27">
        <f t="shared" si="1"/>
        <v>12</v>
      </c>
      <c r="R14" s="29">
        <v>11</v>
      </c>
      <c r="S14" s="25">
        <v>2</v>
      </c>
      <c r="T14" s="26">
        <f>MEDIAN(2,2,3,2,2,2)</f>
        <v>2</v>
      </c>
      <c r="U14" s="26">
        <v>2</v>
      </c>
      <c r="V14" s="26">
        <v>3</v>
      </c>
      <c r="W14" s="26">
        <v>2</v>
      </c>
      <c r="X14" s="27">
        <f t="shared" si="2"/>
        <v>11</v>
      </c>
      <c r="Z14" s="28">
        <v>11</v>
      </c>
      <c r="AA14" s="25">
        <v>2</v>
      </c>
      <c r="AB14" s="26">
        <f>MEDIAN(2,2,2,3,3,2,3,3,3,2,3,3,3,3,2,3)</f>
        <v>3</v>
      </c>
      <c r="AC14" s="26">
        <v>2</v>
      </c>
      <c r="AD14" s="26">
        <v>2</v>
      </c>
      <c r="AE14" s="26">
        <v>2</v>
      </c>
      <c r="AF14" s="27">
        <f t="shared" si="3"/>
        <v>11</v>
      </c>
      <c r="AH14" s="24">
        <v>11</v>
      </c>
      <c r="AI14" s="25">
        <v>1</v>
      </c>
      <c r="AJ14" s="26">
        <f>MEDIAN(2,1,2,2,2,2,3,2,2,2)</f>
        <v>2</v>
      </c>
      <c r="AK14" s="26">
        <v>3</v>
      </c>
      <c r="AL14" s="26">
        <v>1</v>
      </c>
      <c r="AM14" s="26">
        <v>1</v>
      </c>
      <c r="AN14" s="27">
        <f t="shared" si="4"/>
        <v>8</v>
      </c>
      <c r="AP14" s="55">
        <v>11</v>
      </c>
      <c r="AQ14" s="25">
        <v>0</v>
      </c>
      <c r="AR14" s="26">
        <f>MEDIAN(3,3,2,2,3,2,2,2,2,3,3,2,2,2,3,2)</f>
        <v>2</v>
      </c>
      <c r="AS14" s="26">
        <v>2</v>
      </c>
      <c r="AT14" s="26">
        <v>1</v>
      </c>
      <c r="AU14" s="26">
        <v>2</v>
      </c>
      <c r="AV14" s="27">
        <f t="shared" si="5"/>
        <v>7</v>
      </c>
      <c r="AX14" s="29">
        <v>11</v>
      </c>
      <c r="AY14" s="25">
        <v>1</v>
      </c>
      <c r="AZ14" s="26">
        <f>MEDIAN(2,3,3,2,3,3,3,3,3,3,3,3,3,3,3,2,3,2,2,3,2,3,2,2)</f>
        <v>3</v>
      </c>
      <c r="BA14" s="26">
        <v>3</v>
      </c>
      <c r="BB14" s="26">
        <v>1</v>
      </c>
      <c r="BC14" s="26">
        <v>2</v>
      </c>
      <c r="BD14" s="27">
        <f t="shared" si="6"/>
        <v>10</v>
      </c>
      <c r="BF14" s="28">
        <v>11</v>
      </c>
      <c r="BG14" s="25">
        <v>1</v>
      </c>
      <c r="BH14" s="26">
        <f>MEDIAN(2,2,1,1,2,2,2,2,1,1,1,22,1,1,2,2,0,2)</f>
        <v>2</v>
      </c>
      <c r="BI14" s="26">
        <v>2</v>
      </c>
      <c r="BJ14" s="26">
        <v>1</v>
      </c>
      <c r="BK14" s="26">
        <v>1</v>
      </c>
      <c r="BL14" s="27">
        <f t="shared" si="7"/>
        <v>7</v>
      </c>
      <c r="BM14" s="14"/>
      <c r="BN14" s="28">
        <v>11</v>
      </c>
      <c r="BO14" s="25">
        <v>3</v>
      </c>
      <c r="BP14" s="26">
        <f>MEDIAN(3,2,3,3,3,2,2)</f>
        <v>3</v>
      </c>
      <c r="BQ14" s="26">
        <v>1</v>
      </c>
      <c r="BR14" s="26" t="s">
        <v>31</v>
      </c>
      <c r="BS14" s="26">
        <v>2</v>
      </c>
      <c r="BT14" s="27">
        <f t="shared" si="8"/>
        <v>9</v>
      </c>
      <c r="BU14" s="14"/>
      <c r="BV14" s="29">
        <v>11</v>
      </c>
      <c r="BW14" s="25">
        <v>1</v>
      </c>
      <c r="BX14" s="26">
        <f>MEDIAN(3,2,3,3,1,3,2,2,3)</f>
        <v>3</v>
      </c>
      <c r="BY14" s="26">
        <v>3</v>
      </c>
      <c r="BZ14" s="26">
        <v>3</v>
      </c>
      <c r="CA14" s="26">
        <v>1</v>
      </c>
      <c r="CB14" s="27">
        <f t="shared" si="9"/>
        <v>11</v>
      </c>
      <c r="CC14" s="14"/>
      <c r="CD14" s="24">
        <v>11</v>
      </c>
      <c r="CE14" s="25">
        <v>1</v>
      </c>
      <c r="CF14" s="26">
        <f>MEDIAN(3,2,2,1,2,2,2,2,2,2)</f>
        <v>2</v>
      </c>
      <c r="CG14" s="26">
        <v>3</v>
      </c>
      <c r="CH14" s="26">
        <v>0</v>
      </c>
      <c r="CI14" s="26">
        <v>3</v>
      </c>
      <c r="CJ14" s="27">
        <f t="shared" si="10"/>
        <v>9</v>
      </c>
      <c r="CK14" s="14"/>
      <c r="CL14" s="28">
        <v>11</v>
      </c>
      <c r="CM14" s="25">
        <v>0</v>
      </c>
      <c r="CN14" s="26">
        <f>MEDIAN(3,3,3,3,3,3,2,2)</f>
        <v>3</v>
      </c>
      <c r="CO14" s="26">
        <v>3</v>
      </c>
      <c r="CP14" s="26">
        <v>3</v>
      </c>
      <c r="CQ14" s="26">
        <v>1</v>
      </c>
      <c r="CR14" s="27">
        <f t="shared" si="11"/>
        <v>10</v>
      </c>
      <c r="CT14" s="31">
        <v>11</v>
      </c>
      <c r="CU14" s="25">
        <v>0</v>
      </c>
      <c r="CV14" s="26">
        <f>MEDIAN(3,3,3,3,2,3,2,3,3,3,2,3,3,3,3,3,2,3,3,3,3,3,3,3)</f>
        <v>3</v>
      </c>
      <c r="CW14" s="26">
        <v>1</v>
      </c>
      <c r="CX14" s="26">
        <v>1</v>
      </c>
      <c r="CY14" s="26">
        <v>0</v>
      </c>
      <c r="CZ14" s="27">
        <f t="shared" si="12"/>
        <v>5</v>
      </c>
      <c r="DB14" s="30">
        <v>11</v>
      </c>
      <c r="DC14" s="25">
        <v>1</v>
      </c>
      <c r="DD14" s="26">
        <f>MEDIAN(2,2,2,2,3,2,3,3,2,3)</f>
        <v>2</v>
      </c>
      <c r="DE14" s="26">
        <v>3</v>
      </c>
      <c r="DF14" s="26">
        <v>0</v>
      </c>
      <c r="DG14" s="26">
        <v>0</v>
      </c>
      <c r="DH14" s="27">
        <f t="shared" si="13"/>
        <v>6</v>
      </c>
      <c r="DJ14" s="30">
        <v>11</v>
      </c>
      <c r="DK14" s="25">
        <v>0</v>
      </c>
      <c r="DL14" s="26">
        <f>MEDIAN(2,2,3,0,1,1,1,3,1,2,2,2,3,3,2,2,2,2,2,2)</f>
        <v>2</v>
      </c>
      <c r="DM14" s="26">
        <v>2</v>
      </c>
      <c r="DN14" s="26">
        <v>1</v>
      </c>
      <c r="DO14" s="26">
        <v>1</v>
      </c>
      <c r="DP14" s="27">
        <f t="shared" si="14"/>
        <v>6</v>
      </c>
      <c r="DQ14" s="14"/>
      <c r="DR14" s="29">
        <v>11</v>
      </c>
      <c r="DS14" s="25">
        <v>1</v>
      </c>
      <c r="DT14" s="26">
        <f>MEDIAN(2,3,3,3,3,3,3,3,2,3,3,3)</f>
        <v>3</v>
      </c>
      <c r="DU14" s="26">
        <v>2</v>
      </c>
      <c r="DV14" s="45" t="s">
        <v>31</v>
      </c>
      <c r="DW14" s="26">
        <v>2</v>
      </c>
      <c r="DX14" s="27">
        <f t="shared" si="15"/>
        <v>8</v>
      </c>
      <c r="DY14" s="14"/>
      <c r="EA14" s="28">
        <v>11</v>
      </c>
      <c r="EB14" s="8">
        <v>1</v>
      </c>
      <c r="EC14" s="16">
        <f>MEDIAN(3,3,2,3,3,3,3,3,3,3,2,2,3,2,3,3,3,3,2,3)</f>
        <v>3</v>
      </c>
      <c r="ED14" s="16">
        <v>3</v>
      </c>
      <c r="EE14" s="16">
        <v>2</v>
      </c>
      <c r="EF14" s="16">
        <v>1</v>
      </c>
      <c r="EG14" s="33">
        <f t="shared" si="17"/>
        <v>10</v>
      </c>
      <c r="EI14" s="35">
        <v>11</v>
      </c>
      <c r="EJ14" s="32">
        <v>0</v>
      </c>
      <c r="EK14" s="32">
        <f>MEDIAN(3,2,2,2,2,3,2,2,2,2)</f>
        <v>2</v>
      </c>
      <c r="EL14" s="32">
        <v>2</v>
      </c>
      <c r="EM14" s="36">
        <v>1</v>
      </c>
      <c r="EN14" s="32">
        <v>1</v>
      </c>
      <c r="EO14" s="33">
        <f t="shared" si="18"/>
        <v>6</v>
      </c>
      <c r="EQ14" s="34">
        <v>11</v>
      </c>
      <c r="ER14" s="32">
        <v>1</v>
      </c>
      <c r="ES14" s="36" t="s">
        <v>31</v>
      </c>
      <c r="ET14" s="32">
        <v>1</v>
      </c>
      <c r="EU14" s="36">
        <v>2</v>
      </c>
      <c r="EV14" s="32">
        <v>1</v>
      </c>
      <c r="EW14" s="33">
        <f t="shared" si="19"/>
        <v>5</v>
      </c>
      <c r="EX14">
        <f>EW14*(5/4)</f>
        <v>6.25</v>
      </c>
      <c r="EY14" s="39">
        <v>11</v>
      </c>
      <c r="EZ14" s="32">
        <v>1</v>
      </c>
      <c r="FA14" s="32">
        <f>MEDIAN(3,2,3,3,3,2,3,2,3,3,2,2)</f>
        <v>3</v>
      </c>
      <c r="FB14" s="32">
        <v>0</v>
      </c>
      <c r="FC14" s="36" t="s">
        <v>31</v>
      </c>
      <c r="FD14" s="32">
        <v>1</v>
      </c>
      <c r="FE14" s="33">
        <f t="shared" si="20"/>
        <v>5</v>
      </c>
      <c r="FF14">
        <f>FE14*(5/4)</f>
        <v>6.25</v>
      </c>
      <c r="FG14" s="35">
        <v>11</v>
      </c>
      <c r="FH14" s="32">
        <v>3</v>
      </c>
      <c r="FI14" s="32">
        <f>MEDIAN(2,3,3,3,3,3,3,2,2,3,3,3,3,3,3,2,3,2)</f>
        <v>3</v>
      </c>
      <c r="FJ14" s="32">
        <v>3</v>
      </c>
      <c r="FK14" s="36" t="s">
        <v>31</v>
      </c>
      <c r="FL14" s="32">
        <v>1</v>
      </c>
      <c r="FM14" s="33">
        <f t="shared" si="40"/>
        <v>10</v>
      </c>
      <c r="FN14">
        <f>FM14*(5/4)</f>
        <v>12.5</v>
      </c>
      <c r="FO14" s="35">
        <v>11</v>
      </c>
      <c r="FP14" s="32">
        <v>0</v>
      </c>
      <c r="FQ14" s="32">
        <f>MEDIAN(3,3,3,3,3,3,3,2,3,3,3,3,2,3,2,3,3,3,3,3,3,3)</f>
        <v>3</v>
      </c>
      <c r="FR14" s="32">
        <v>3</v>
      </c>
      <c r="FS14" s="36">
        <v>2</v>
      </c>
      <c r="FT14" s="32">
        <v>1</v>
      </c>
      <c r="FU14" s="33">
        <f t="shared" si="21"/>
        <v>9</v>
      </c>
      <c r="FW14" s="35">
        <v>11</v>
      </c>
      <c r="FX14" s="32">
        <v>2</v>
      </c>
      <c r="FY14" s="32">
        <f>MEDIAN(2,2,2,2,3,2,3,3,2,2,2,3)</f>
        <v>2</v>
      </c>
      <c r="FZ14" s="32">
        <v>3</v>
      </c>
      <c r="GA14" s="36">
        <v>3</v>
      </c>
      <c r="GB14" s="32">
        <v>2</v>
      </c>
      <c r="GC14" s="33">
        <f t="shared" si="22"/>
        <v>12</v>
      </c>
      <c r="GE14" s="37">
        <v>11</v>
      </c>
      <c r="GF14" s="32">
        <v>0</v>
      </c>
      <c r="GG14" s="32">
        <f>MEDIAN(3,3,2,2,3,3)</f>
        <v>3</v>
      </c>
      <c r="GH14" s="32">
        <v>2</v>
      </c>
      <c r="GI14" s="36">
        <v>1</v>
      </c>
      <c r="GJ14" s="32">
        <v>1</v>
      </c>
      <c r="GK14" s="33">
        <f t="shared" si="23"/>
        <v>7</v>
      </c>
      <c r="GM14" s="37">
        <v>11</v>
      </c>
      <c r="GN14" s="26">
        <v>0</v>
      </c>
      <c r="GO14" s="32">
        <f>MEDIAN(2,2,2,2,3,3)</f>
        <v>2</v>
      </c>
      <c r="GP14" s="32">
        <v>3</v>
      </c>
      <c r="GQ14" s="32">
        <v>0</v>
      </c>
      <c r="GR14" s="32">
        <v>0</v>
      </c>
      <c r="GS14" s="33">
        <f t="shared" si="24"/>
        <v>5</v>
      </c>
      <c r="GU14" s="34">
        <v>11</v>
      </c>
      <c r="GV14" s="32">
        <v>0</v>
      </c>
      <c r="GW14" s="32">
        <f>MEDIAN(2,3,3,3,2,3,3,2,2,3,3,3,3,3)</f>
        <v>3</v>
      </c>
      <c r="GX14" s="32">
        <v>3</v>
      </c>
      <c r="GY14" s="36">
        <v>0</v>
      </c>
      <c r="GZ14" s="32">
        <v>0</v>
      </c>
      <c r="HA14" s="33">
        <f t="shared" si="25"/>
        <v>6</v>
      </c>
      <c r="HC14" s="34">
        <v>11</v>
      </c>
      <c r="HD14" s="32">
        <v>0</v>
      </c>
      <c r="HE14" s="32">
        <f>MEDIAN(2,3,3,2,3,3,2,3,3,2,2,3)</f>
        <v>3</v>
      </c>
      <c r="HF14" s="32">
        <v>1</v>
      </c>
      <c r="HG14" s="36">
        <v>2</v>
      </c>
      <c r="HH14" s="32">
        <v>1</v>
      </c>
      <c r="HI14" s="33">
        <f t="shared" si="26"/>
        <v>7</v>
      </c>
      <c r="HK14" s="37">
        <v>11</v>
      </c>
      <c r="HL14" s="32">
        <v>0</v>
      </c>
      <c r="HM14" s="32">
        <f>MEDIAN(3,3,3,3,3,2,2,3,2,2,2,3,3,2,3,2,3)</f>
        <v>3</v>
      </c>
      <c r="HN14" s="32">
        <v>2</v>
      </c>
      <c r="HO14" s="32">
        <v>1</v>
      </c>
      <c r="HP14" s="32">
        <v>1</v>
      </c>
      <c r="HQ14" s="33">
        <f t="shared" si="27"/>
        <v>7</v>
      </c>
      <c r="HS14" s="37">
        <v>11</v>
      </c>
      <c r="HT14" s="32">
        <v>0</v>
      </c>
      <c r="HU14" s="32">
        <f>MEDIAN(2,3,3,2,2,3,3,2)</f>
        <v>2.5</v>
      </c>
      <c r="HV14" s="32">
        <v>2</v>
      </c>
      <c r="HW14" s="32">
        <v>1</v>
      </c>
      <c r="HX14" s="32">
        <v>1</v>
      </c>
      <c r="HY14" s="33">
        <f t="shared" si="28"/>
        <v>6.5</v>
      </c>
      <c r="IA14" s="37">
        <v>11</v>
      </c>
      <c r="IB14" s="32">
        <v>1</v>
      </c>
      <c r="IC14" s="32">
        <f>MEDIAN(2,3,3,3,3,3,3,3,2,3,3,3,2,3,3,3,2,3)</f>
        <v>3</v>
      </c>
      <c r="ID14" s="32">
        <v>2</v>
      </c>
      <c r="IE14" s="32">
        <v>2</v>
      </c>
      <c r="IF14" s="32">
        <v>2</v>
      </c>
      <c r="IG14" s="33">
        <f t="shared" si="29"/>
        <v>10</v>
      </c>
      <c r="II14" s="42">
        <v>11</v>
      </c>
      <c r="IJ14" s="43"/>
      <c r="IK14" s="43"/>
      <c r="IL14" s="43"/>
      <c r="IM14" s="43"/>
      <c r="IN14" s="43"/>
      <c r="IO14" s="44"/>
      <c r="IQ14" s="37">
        <v>11</v>
      </c>
      <c r="IR14" s="32">
        <v>0</v>
      </c>
      <c r="IS14" s="32">
        <f>MEDIAN(3,2,3)</f>
        <v>3</v>
      </c>
      <c r="IT14" s="32">
        <v>2</v>
      </c>
      <c r="IU14" s="32">
        <v>1</v>
      </c>
      <c r="IV14" s="32">
        <v>1</v>
      </c>
      <c r="IW14" s="33">
        <f t="shared" si="30"/>
        <v>7</v>
      </c>
      <c r="IY14" s="34">
        <v>11</v>
      </c>
      <c r="IZ14" s="32">
        <v>0</v>
      </c>
      <c r="JA14" s="32">
        <f>MEDIAN(2,3,3,3,3,3,3,3,3,3,2,3)</f>
        <v>3</v>
      </c>
      <c r="JB14" s="32">
        <v>2</v>
      </c>
      <c r="JC14" s="32">
        <v>0</v>
      </c>
      <c r="JD14" s="32">
        <v>0</v>
      </c>
      <c r="JE14" s="33">
        <f t="shared" si="31"/>
        <v>5</v>
      </c>
      <c r="JG14" s="34">
        <v>11</v>
      </c>
      <c r="JH14" s="32">
        <v>0</v>
      </c>
      <c r="JI14" s="32">
        <f>MEDIAN(3,3,2,2,2,2,3,2,3,3,2)</f>
        <v>2</v>
      </c>
      <c r="JJ14" s="32">
        <v>3</v>
      </c>
      <c r="JK14" s="32">
        <v>0</v>
      </c>
      <c r="JL14" s="32">
        <v>0</v>
      </c>
      <c r="JM14" s="33">
        <f t="shared" si="32"/>
        <v>5</v>
      </c>
      <c r="JO14" s="35">
        <v>11</v>
      </c>
      <c r="JP14" s="32">
        <v>1</v>
      </c>
      <c r="JQ14" s="32">
        <f>MEDIAN(3,3,3,3,3,3,3,3,3,3,3,3,3,3,2,2,3)</f>
        <v>3</v>
      </c>
      <c r="JR14" s="32">
        <v>2</v>
      </c>
      <c r="JS14" s="32">
        <v>2</v>
      </c>
      <c r="JT14" s="32">
        <v>1</v>
      </c>
      <c r="JU14" s="33">
        <f t="shared" si="33"/>
        <v>9</v>
      </c>
      <c r="JW14" s="35">
        <v>11</v>
      </c>
      <c r="JX14" s="32">
        <v>1</v>
      </c>
      <c r="JY14" s="32">
        <f>MEDIAN(3,3,3,3,2,3,3,3,3,2,3,2,3,3,3,2,3,3,3,3,3,3)</f>
        <v>3</v>
      </c>
      <c r="JZ14" s="32">
        <v>3</v>
      </c>
      <c r="KA14" s="32">
        <v>1</v>
      </c>
      <c r="KB14" s="32">
        <v>1</v>
      </c>
      <c r="KC14" s="33">
        <f t="shared" si="34"/>
        <v>9</v>
      </c>
      <c r="KE14" s="34">
        <v>11</v>
      </c>
      <c r="KF14" s="32">
        <v>1</v>
      </c>
      <c r="KG14" s="32">
        <f>MEDIAN(3,3,3,3,2,3,3,3,2,3,2,3,3,3,3,3)</f>
        <v>3</v>
      </c>
      <c r="KH14" s="32">
        <v>2</v>
      </c>
      <c r="KI14" s="32">
        <v>3</v>
      </c>
      <c r="KJ14" s="32">
        <v>2</v>
      </c>
      <c r="KK14" s="33">
        <f t="shared" si="35"/>
        <v>11</v>
      </c>
      <c r="KM14" s="37">
        <v>11</v>
      </c>
      <c r="KN14" s="32">
        <v>1</v>
      </c>
      <c r="KO14" s="32">
        <f>MEDIAN(3,3,3,3,2,3,3,3,3,3,3,3,3,2,3,3,3)</f>
        <v>3</v>
      </c>
      <c r="KP14" s="32">
        <v>3</v>
      </c>
      <c r="KQ14" s="32">
        <v>1</v>
      </c>
      <c r="KR14" s="32">
        <v>1</v>
      </c>
      <c r="KS14" s="33">
        <f t="shared" si="36"/>
        <v>9</v>
      </c>
      <c r="KU14" s="37">
        <v>11</v>
      </c>
      <c r="KV14" s="32">
        <v>0</v>
      </c>
      <c r="KW14" s="32">
        <f>MEDIAN(2,2,3,3,2,2,2,3,3)</f>
        <v>2</v>
      </c>
      <c r="KX14" s="32">
        <v>3</v>
      </c>
      <c r="KY14" s="32">
        <v>0</v>
      </c>
      <c r="KZ14" s="32">
        <v>0</v>
      </c>
      <c r="LA14" s="33">
        <f t="shared" si="37"/>
        <v>5</v>
      </c>
      <c r="LC14" s="38">
        <v>11</v>
      </c>
      <c r="LD14" s="32">
        <v>2</v>
      </c>
      <c r="LE14" s="32">
        <f>MEDIAN(3,3,3,2,3,3,3,3,3,2)</f>
        <v>3</v>
      </c>
      <c r="LF14" s="32">
        <v>3</v>
      </c>
      <c r="LG14" s="32">
        <v>3</v>
      </c>
      <c r="LH14" s="32">
        <v>3</v>
      </c>
      <c r="LI14" s="33">
        <f t="shared" si="38"/>
        <v>14</v>
      </c>
      <c r="LK14" s="34">
        <v>11</v>
      </c>
      <c r="LL14" s="32">
        <v>3</v>
      </c>
      <c r="LM14" s="32">
        <f>MEDIAN(3,3,3,2,2,3,3,3,3,2,2,3,3)</f>
        <v>3</v>
      </c>
      <c r="LN14" s="32">
        <v>2</v>
      </c>
      <c r="LO14" s="36" t="s">
        <v>31</v>
      </c>
      <c r="LP14" s="32">
        <v>2</v>
      </c>
      <c r="LQ14" s="33">
        <f t="shared" si="39"/>
        <v>10</v>
      </c>
      <c r="LR14">
        <f>LQ14*(5/4)</f>
        <v>12.5</v>
      </c>
    </row>
    <row r="15" spans="1:330" ht="15" thickBot="1" x14ac:dyDescent="0.4">
      <c r="A15" s="50">
        <v>12</v>
      </c>
      <c r="B15" s="51"/>
      <c r="C15" s="43"/>
      <c r="D15" s="43"/>
      <c r="E15" s="43"/>
      <c r="F15" s="43"/>
      <c r="G15" s="44"/>
      <c r="H15" s="14"/>
      <c r="J15" s="28">
        <v>12</v>
      </c>
      <c r="K15" s="25">
        <v>1</v>
      </c>
      <c r="L15" s="26">
        <f>MEDIAN(3,3,2,3,3,3,3,3,3)</f>
        <v>3</v>
      </c>
      <c r="M15" s="26">
        <v>2</v>
      </c>
      <c r="N15" s="26">
        <v>3</v>
      </c>
      <c r="O15" s="26">
        <v>1</v>
      </c>
      <c r="P15" s="27">
        <f t="shared" si="1"/>
        <v>10</v>
      </c>
      <c r="R15" s="29">
        <v>12</v>
      </c>
      <c r="S15" s="25">
        <v>3</v>
      </c>
      <c r="T15" s="26">
        <f>MEDIAN(3,3,3,3,2,2,3,2,3,3,2,3,3)</f>
        <v>3</v>
      </c>
      <c r="U15" s="26">
        <v>2</v>
      </c>
      <c r="V15" s="26" t="s">
        <v>31</v>
      </c>
      <c r="W15" s="26">
        <v>2</v>
      </c>
      <c r="X15" s="27">
        <f t="shared" si="2"/>
        <v>10</v>
      </c>
      <c r="Z15" s="31">
        <v>12</v>
      </c>
      <c r="AA15" s="25">
        <v>2</v>
      </c>
      <c r="AB15" s="26">
        <f>MEDIAN(3,3,3,3,3,2,3,2,3)</f>
        <v>3</v>
      </c>
      <c r="AC15" s="26">
        <v>2</v>
      </c>
      <c r="AD15" s="26">
        <v>3</v>
      </c>
      <c r="AE15" s="26">
        <v>1</v>
      </c>
      <c r="AF15" s="27">
        <f t="shared" si="3"/>
        <v>11</v>
      </c>
      <c r="AH15" s="24">
        <v>12</v>
      </c>
      <c r="AI15" s="25">
        <v>1</v>
      </c>
      <c r="AJ15" s="26">
        <f>MEDIAN(2,2,3,3,2,1,2,3,2,2,2)</f>
        <v>2</v>
      </c>
      <c r="AK15" s="26">
        <v>3</v>
      </c>
      <c r="AL15" s="26">
        <v>1</v>
      </c>
      <c r="AM15" s="26">
        <v>2</v>
      </c>
      <c r="AN15" s="27">
        <f t="shared" si="4"/>
        <v>9</v>
      </c>
      <c r="AP15" s="30">
        <v>12</v>
      </c>
      <c r="AQ15" s="25">
        <v>1</v>
      </c>
      <c r="AR15" s="26">
        <f>MEDIAN(2,3,2,2,2,1,3,3,3,2,2,2,2,3)</f>
        <v>2</v>
      </c>
      <c r="AS15" s="26">
        <v>2</v>
      </c>
      <c r="AT15" s="26">
        <v>2</v>
      </c>
      <c r="AU15" s="26">
        <v>2</v>
      </c>
      <c r="AV15" s="27">
        <f t="shared" si="5"/>
        <v>9</v>
      </c>
      <c r="AX15" s="29">
        <v>12</v>
      </c>
      <c r="AY15" s="25">
        <v>1</v>
      </c>
      <c r="AZ15" s="26">
        <f>MEDIAN(3,3,3,3,2,3,3,3)</f>
        <v>3</v>
      </c>
      <c r="BA15" s="26">
        <v>3</v>
      </c>
      <c r="BB15" s="26">
        <v>3</v>
      </c>
      <c r="BC15" s="26">
        <v>2</v>
      </c>
      <c r="BD15" s="27">
        <f t="shared" si="6"/>
        <v>12</v>
      </c>
      <c r="BF15" s="31">
        <v>12</v>
      </c>
      <c r="BG15" s="25">
        <v>1</v>
      </c>
      <c r="BH15" s="26">
        <f>MEDIAN(2,1,1,2,1,1,1,2,1)</f>
        <v>1</v>
      </c>
      <c r="BI15" s="26">
        <v>3</v>
      </c>
      <c r="BJ15" s="26">
        <v>1</v>
      </c>
      <c r="BK15" s="26">
        <v>1</v>
      </c>
      <c r="BL15" s="27">
        <f t="shared" si="7"/>
        <v>7</v>
      </c>
      <c r="BM15" s="14"/>
      <c r="BN15" s="28">
        <v>12</v>
      </c>
      <c r="BO15" s="25">
        <v>3</v>
      </c>
      <c r="BP15" s="26">
        <f>MEDIAN(3,3)</f>
        <v>3</v>
      </c>
      <c r="BQ15" s="26">
        <v>2</v>
      </c>
      <c r="BR15" s="26" t="s">
        <v>31</v>
      </c>
      <c r="BS15" s="26">
        <v>1</v>
      </c>
      <c r="BT15" s="27">
        <f t="shared" si="8"/>
        <v>9</v>
      </c>
      <c r="BU15" s="14"/>
      <c r="BV15" s="29">
        <v>12</v>
      </c>
      <c r="BW15" s="25">
        <v>0</v>
      </c>
      <c r="BX15" s="26">
        <f>MEDIAN(2,3,3,2,2,3,2,1,1,2,1,2,3,2,2,1,1,2)</f>
        <v>2</v>
      </c>
      <c r="BY15" s="26">
        <v>2</v>
      </c>
      <c r="BZ15" s="26">
        <v>3</v>
      </c>
      <c r="CA15" s="26">
        <v>2</v>
      </c>
      <c r="CB15" s="27">
        <f t="shared" si="9"/>
        <v>9</v>
      </c>
      <c r="CC15" s="14"/>
      <c r="CD15" s="28">
        <v>12</v>
      </c>
      <c r="CE15" s="25">
        <v>0</v>
      </c>
      <c r="CF15" s="26">
        <f>MEDIAN(2,2,3,3,3,3,3,2,2)</f>
        <v>3</v>
      </c>
      <c r="CG15" s="26">
        <v>3</v>
      </c>
      <c r="CH15" s="26">
        <v>0</v>
      </c>
      <c r="CI15" s="26">
        <v>3</v>
      </c>
      <c r="CJ15" s="27">
        <f t="shared" si="10"/>
        <v>9</v>
      </c>
      <c r="CK15" s="14"/>
      <c r="CL15" s="28">
        <v>12</v>
      </c>
      <c r="CM15" s="25">
        <v>1</v>
      </c>
      <c r="CN15" s="26">
        <f>MEDIAN(3,3,3,3,3,2,2)</f>
        <v>3</v>
      </c>
      <c r="CO15" s="26">
        <v>3</v>
      </c>
      <c r="CP15" s="26">
        <v>2</v>
      </c>
      <c r="CQ15" s="26">
        <v>2</v>
      </c>
      <c r="CR15" s="27">
        <f t="shared" si="11"/>
        <v>11</v>
      </c>
      <c r="CT15" s="29">
        <v>12</v>
      </c>
      <c r="CU15" s="25">
        <v>1</v>
      </c>
      <c r="CV15" s="26">
        <f>MEDIAN(2,3,3,3,3,3,2,3,3,3,3,2)</f>
        <v>3</v>
      </c>
      <c r="CW15" s="26">
        <v>2</v>
      </c>
      <c r="CX15" s="26">
        <v>1</v>
      </c>
      <c r="CY15" s="26">
        <v>0</v>
      </c>
      <c r="CZ15" s="27">
        <f t="shared" si="12"/>
        <v>7</v>
      </c>
      <c r="DB15" s="30">
        <v>12</v>
      </c>
      <c r="DC15" s="25">
        <v>0</v>
      </c>
      <c r="DD15" s="26">
        <f>MEDIAN(3,3,3,3,2,3,3)</f>
        <v>3</v>
      </c>
      <c r="DE15" s="26">
        <v>3</v>
      </c>
      <c r="DF15" s="26">
        <v>1</v>
      </c>
      <c r="DG15" s="26">
        <v>1</v>
      </c>
      <c r="DH15" s="27">
        <f t="shared" si="13"/>
        <v>8</v>
      </c>
      <c r="DJ15" s="30">
        <v>12</v>
      </c>
      <c r="DK15" s="25">
        <v>1</v>
      </c>
      <c r="DL15" s="26">
        <f>MEDIAN(1,2,3,2,2,2,3,2,3,2,2)</f>
        <v>2</v>
      </c>
      <c r="DM15" s="26">
        <v>2</v>
      </c>
      <c r="DN15" s="26">
        <v>2</v>
      </c>
      <c r="DO15" s="26">
        <v>1</v>
      </c>
      <c r="DP15" s="27">
        <f t="shared" si="14"/>
        <v>8</v>
      </c>
      <c r="DQ15" s="14"/>
      <c r="DR15" s="31">
        <v>12</v>
      </c>
      <c r="DS15" s="25">
        <v>1</v>
      </c>
      <c r="DT15" s="26">
        <f>MEDIAN(3,3,2,2,3,2)</f>
        <v>2.5</v>
      </c>
      <c r="DU15" s="26">
        <v>1</v>
      </c>
      <c r="DV15" s="26">
        <v>1</v>
      </c>
      <c r="DW15" s="26">
        <v>1</v>
      </c>
      <c r="DX15" s="27">
        <f t="shared" si="15"/>
        <v>6.5</v>
      </c>
      <c r="DY15" s="14"/>
      <c r="EA15" s="28">
        <v>12</v>
      </c>
      <c r="EB15" s="52">
        <v>1</v>
      </c>
      <c r="EC15" s="53">
        <f>MEDIAN(3,3,3,2,3,2,3,2,2,3,2,2)</f>
        <v>2.5</v>
      </c>
      <c r="ED15" s="53">
        <v>3</v>
      </c>
      <c r="EE15" s="53">
        <v>1</v>
      </c>
      <c r="EF15" s="53">
        <v>2</v>
      </c>
      <c r="EG15" s="33">
        <f t="shared" si="17"/>
        <v>9.5</v>
      </c>
      <c r="EI15" s="34">
        <v>12</v>
      </c>
      <c r="EJ15" s="32">
        <v>0</v>
      </c>
      <c r="EK15" s="32">
        <f>MEDIAN(3,2,2,2,3,3,2,2,2,2,2,2,3,3)</f>
        <v>2</v>
      </c>
      <c r="EL15" s="32">
        <v>2</v>
      </c>
      <c r="EM15" s="36" t="s">
        <v>31</v>
      </c>
      <c r="EN15" s="32">
        <v>0</v>
      </c>
      <c r="EO15" s="33">
        <f t="shared" si="18"/>
        <v>4</v>
      </c>
      <c r="EP15">
        <f>EO15*(5/4)</f>
        <v>5</v>
      </c>
      <c r="EQ15" s="37">
        <v>12</v>
      </c>
      <c r="ER15" s="32">
        <v>1</v>
      </c>
      <c r="ES15" s="32">
        <f>MEDIAN(2,2,2,3,1,2,2,1,3,2,2)</f>
        <v>2</v>
      </c>
      <c r="ET15" s="32">
        <v>2</v>
      </c>
      <c r="EU15" s="36">
        <v>1</v>
      </c>
      <c r="EV15" s="32">
        <v>1</v>
      </c>
      <c r="EW15" s="33">
        <f t="shared" si="19"/>
        <v>7</v>
      </c>
      <c r="EY15" s="34">
        <v>12</v>
      </c>
      <c r="EZ15" s="32">
        <v>2</v>
      </c>
      <c r="FA15" s="32">
        <f>MEDIAN(3,3,2,3,2,3,3,3,3,3,3,3,3,3,3,3,3,2,2)</f>
        <v>3</v>
      </c>
      <c r="FB15" s="32">
        <v>1</v>
      </c>
      <c r="FC15" s="36">
        <v>0</v>
      </c>
      <c r="FD15" s="32">
        <v>1</v>
      </c>
      <c r="FE15" s="33">
        <f t="shared" si="20"/>
        <v>7</v>
      </c>
      <c r="FG15" s="35">
        <v>12</v>
      </c>
      <c r="FH15" s="32">
        <v>2</v>
      </c>
      <c r="FI15" s="32">
        <f>MEDIAN(3,3,2,2,3,3,3,3,3,3,3,2,2,3,3,3,3,3)</f>
        <v>3</v>
      </c>
      <c r="FJ15" s="32">
        <v>2</v>
      </c>
      <c r="FK15" s="36">
        <v>2</v>
      </c>
      <c r="FL15" s="32">
        <v>1</v>
      </c>
      <c r="FM15" s="33">
        <f t="shared" si="40"/>
        <v>10</v>
      </c>
      <c r="FO15" s="37">
        <v>12</v>
      </c>
      <c r="FP15" s="32">
        <v>0</v>
      </c>
      <c r="FQ15" s="32">
        <f>MEDIAN(3,3,3,3,3,3,3,3,3,3,3,3,2,2)</f>
        <v>3</v>
      </c>
      <c r="FR15" s="32">
        <v>2</v>
      </c>
      <c r="FS15" s="36">
        <v>1</v>
      </c>
      <c r="FT15" s="32">
        <v>1</v>
      </c>
      <c r="FU15" s="33">
        <f t="shared" si="21"/>
        <v>7</v>
      </c>
      <c r="FW15" s="34">
        <v>12</v>
      </c>
      <c r="FX15" s="32">
        <v>0</v>
      </c>
      <c r="FY15" s="32">
        <f>MEDIAN(3,3,3,3,2,2,2,2,3,3,3,2,3,2,3,3,3,3,3,3,2,3,2,2,2,3,2,3,3,3,2,3,2,3,3,3,3,3,3,3,2,2,3,3,2,3,3,3,2,3,3,3,3,3,3,3,3,3,3,3,2,3,2,2,2,2,3,3,3,3,3,2,2)</f>
        <v>3</v>
      </c>
      <c r="FZ15" s="32">
        <v>3</v>
      </c>
      <c r="GA15" s="36">
        <v>1</v>
      </c>
      <c r="GB15" s="32">
        <v>1</v>
      </c>
      <c r="GC15" s="33">
        <f t="shared" si="22"/>
        <v>8</v>
      </c>
      <c r="GE15" s="37">
        <v>12</v>
      </c>
      <c r="GF15" s="32">
        <v>0</v>
      </c>
      <c r="GG15" s="32">
        <f>MEDIAN(3,3,2,3,3,3,2,2,3,3,3,2,3,2,3,3,3,2,3,3,2,2,3)</f>
        <v>3</v>
      </c>
      <c r="GH15" s="32">
        <v>3</v>
      </c>
      <c r="GI15" s="36">
        <v>2</v>
      </c>
      <c r="GJ15" s="32">
        <v>2</v>
      </c>
      <c r="GK15" s="33">
        <f t="shared" si="23"/>
        <v>10</v>
      </c>
      <c r="GM15" s="56">
        <v>12</v>
      </c>
      <c r="GN15" s="26">
        <v>1</v>
      </c>
      <c r="GO15" s="32">
        <f>MEDIAN(3,3,3,3,2,1,2,2,2,2,2,3,3,2)</f>
        <v>2</v>
      </c>
      <c r="GP15" s="32">
        <v>1</v>
      </c>
      <c r="GQ15" s="32">
        <v>0</v>
      </c>
      <c r="GR15" s="32">
        <v>1</v>
      </c>
      <c r="GS15" s="33">
        <f t="shared" si="24"/>
        <v>5</v>
      </c>
      <c r="GU15" s="34">
        <v>12</v>
      </c>
      <c r="GV15" s="32">
        <v>1</v>
      </c>
      <c r="GW15" s="32">
        <f>MEDIAN(2,3,2,3,2)</f>
        <v>2</v>
      </c>
      <c r="GX15" s="32">
        <v>2</v>
      </c>
      <c r="GY15" s="36">
        <v>0</v>
      </c>
      <c r="GZ15" s="32">
        <v>0</v>
      </c>
      <c r="HA15" s="33">
        <f t="shared" si="25"/>
        <v>5</v>
      </c>
      <c r="HC15" s="34">
        <v>12</v>
      </c>
      <c r="HD15" s="32">
        <v>0</v>
      </c>
      <c r="HE15" s="32">
        <f>MEDIAN(3,2,3,3,3,2,2,2,3,3)</f>
        <v>3</v>
      </c>
      <c r="HF15" s="32">
        <v>1</v>
      </c>
      <c r="HG15" s="36">
        <v>2</v>
      </c>
      <c r="HH15" s="32">
        <v>1</v>
      </c>
      <c r="HI15" s="33">
        <f t="shared" si="26"/>
        <v>7</v>
      </c>
      <c r="HK15" s="34">
        <v>12</v>
      </c>
      <c r="HL15" s="32">
        <v>0</v>
      </c>
      <c r="HM15" s="32">
        <f>MEDIAN(2,1,3,3,3,2,3,3,3,3,3,3,3,3,3,3,2,3,3)</f>
        <v>3</v>
      </c>
      <c r="HN15" s="32">
        <v>3</v>
      </c>
      <c r="HO15" s="32">
        <v>2</v>
      </c>
      <c r="HP15" s="32">
        <v>1</v>
      </c>
      <c r="HQ15" s="33">
        <f t="shared" si="27"/>
        <v>9</v>
      </c>
      <c r="HS15" s="37">
        <v>12</v>
      </c>
      <c r="HT15" s="32">
        <v>0</v>
      </c>
      <c r="HU15" s="32">
        <f>MEDIAN(3,2,3)</f>
        <v>3</v>
      </c>
      <c r="HV15" s="32">
        <v>2</v>
      </c>
      <c r="HW15" s="32">
        <v>1</v>
      </c>
      <c r="HX15" s="32">
        <v>2</v>
      </c>
      <c r="HY15" s="33">
        <f t="shared" si="28"/>
        <v>8</v>
      </c>
      <c r="IA15" s="37">
        <v>12</v>
      </c>
      <c r="IB15" s="32">
        <v>1</v>
      </c>
      <c r="IC15" s="32">
        <f>MEDIAN(2,2,3,2,3,3,3,3,2,2,3,3,2,2,2,2,1,3)</f>
        <v>2</v>
      </c>
      <c r="ID15" s="32">
        <v>3</v>
      </c>
      <c r="IE15" s="32">
        <v>1</v>
      </c>
      <c r="IF15" s="32">
        <v>1</v>
      </c>
      <c r="IG15" s="33">
        <f t="shared" si="29"/>
        <v>8</v>
      </c>
      <c r="II15" s="42">
        <v>12</v>
      </c>
      <c r="IJ15" s="43"/>
      <c r="IK15" s="43"/>
      <c r="IL15" s="43"/>
      <c r="IM15" s="43"/>
      <c r="IN15" s="43"/>
      <c r="IO15" s="44"/>
      <c r="IQ15" s="34">
        <v>12</v>
      </c>
      <c r="IR15" s="32">
        <v>1</v>
      </c>
      <c r="IS15" s="32">
        <f>MEDIAN(2,2,3,2,2,2,2,3,3,2)</f>
        <v>2</v>
      </c>
      <c r="IT15" s="32">
        <v>2</v>
      </c>
      <c r="IU15" s="32">
        <v>0</v>
      </c>
      <c r="IV15" s="32">
        <v>1</v>
      </c>
      <c r="IW15" s="33">
        <f t="shared" si="30"/>
        <v>6</v>
      </c>
      <c r="IY15" s="34">
        <v>12</v>
      </c>
      <c r="IZ15" s="32">
        <v>0</v>
      </c>
      <c r="JA15" s="32">
        <f>MEDIAN(2,2,3,3,3,3,3,3,2,2,3,3,3,3,2,3,3,3)</f>
        <v>3</v>
      </c>
      <c r="JB15" s="32">
        <v>3</v>
      </c>
      <c r="JC15" s="32">
        <v>0</v>
      </c>
      <c r="JD15" s="32">
        <v>0</v>
      </c>
      <c r="JE15" s="33">
        <f t="shared" si="31"/>
        <v>6</v>
      </c>
      <c r="JG15" s="34">
        <v>12</v>
      </c>
      <c r="JH15" s="32">
        <v>1</v>
      </c>
      <c r="JI15" s="32">
        <f>MEDIAN(3,2,3,2,3,2,3,3,3,2,2,2,3,3,2,3,2,2,2)</f>
        <v>2</v>
      </c>
      <c r="JJ15" s="32">
        <v>3</v>
      </c>
      <c r="JK15" s="32">
        <v>2</v>
      </c>
      <c r="JL15" s="32">
        <v>1</v>
      </c>
      <c r="JM15" s="33">
        <f t="shared" si="32"/>
        <v>9</v>
      </c>
      <c r="JO15" s="35">
        <v>12</v>
      </c>
      <c r="JP15" s="32">
        <v>2</v>
      </c>
      <c r="JQ15" s="32">
        <f>MEDIAN(2,2,3,2,3,3,3,3,1,1,2,3,3,3,2,3,3,2,3,3,3,3,2,3,3,2,3,3,2)</f>
        <v>3</v>
      </c>
      <c r="JR15" s="32">
        <v>2</v>
      </c>
      <c r="JS15" s="32">
        <v>3</v>
      </c>
      <c r="JT15" s="32">
        <v>1</v>
      </c>
      <c r="JU15" s="33">
        <f t="shared" si="33"/>
        <v>11</v>
      </c>
      <c r="JW15" s="37">
        <v>12</v>
      </c>
      <c r="JX15" s="32">
        <v>1</v>
      </c>
      <c r="JY15" s="32">
        <f>MEDIAN(3,3,3,2,3,3,3,3,3,2,3)</f>
        <v>3</v>
      </c>
      <c r="JZ15" s="32">
        <v>2</v>
      </c>
      <c r="KA15" s="32">
        <v>1</v>
      </c>
      <c r="KB15" s="32">
        <v>2</v>
      </c>
      <c r="KC15" s="33">
        <f t="shared" si="34"/>
        <v>9</v>
      </c>
      <c r="KE15" s="39">
        <v>12</v>
      </c>
      <c r="KF15" s="32">
        <v>0</v>
      </c>
      <c r="KG15" s="32">
        <f>MEDIAN(3,3,3,3,2,3,3,3,3,3,3,3,3,3,3,3,3,3,3,3)</f>
        <v>3</v>
      </c>
      <c r="KH15" s="32">
        <v>3</v>
      </c>
      <c r="KI15" s="32">
        <v>1</v>
      </c>
      <c r="KJ15" s="32">
        <v>1</v>
      </c>
      <c r="KK15" s="33">
        <f t="shared" si="35"/>
        <v>8</v>
      </c>
      <c r="KM15" s="37">
        <v>12</v>
      </c>
      <c r="KN15" s="32">
        <v>1</v>
      </c>
      <c r="KO15" s="32">
        <f>MEDIAN(2,3,2,3,3,3,2,3,2,2,3,3,3,3,3,1,2,2,3,3,2,2,3,3)</f>
        <v>3</v>
      </c>
      <c r="KP15" s="32">
        <v>2</v>
      </c>
      <c r="KQ15" s="32">
        <v>1</v>
      </c>
      <c r="KR15" s="32">
        <v>1</v>
      </c>
      <c r="KS15" s="33">
        <f t="shared" si="36"/>
        <v>8</v>
      </c>
      <c r="KU15" s="34">
        <v>12</v>
      </c>
      <c r="KV15" s="32">
        <v>1</v>
      </c>
      <c r="KW15" s="32">
        <f>MEDIAN(3,3,3,3,3,2,3,3,3,3,3,3,3,3,2,3,3,3,3)</f>
        <v>3</v>
      </c>
      <c r="KX15" s="32">
        <v>2</v>
      </c>
      <c r="KY15" s="32">
        <v>1</v>
      </c>
      <c r="KZ15" s="32">
        <v>1</v>
      </c>
      <c r="LA15" s="33">
        <f t="shared" si="37"/>
        <v>8</v>
      </c>
      <c r="LC15" s="34">
        <v>12</v>
      </c>
      <c r="LD15" s="32">
        <v>2</v>
      </c>
      <c r="LE15" s="32">
        <f>MEDIAN(3,3,3,3,3,3,3,3,2,3,3,3,3,3,3,3,3,3)</f>
        <v>3</v>
      </c>
      <c r="LF15" s="32">
        <v>2</v>
      </c>
      <c r="LG15" s="36" t="s">
        <v>31</v>
      </c>
      <c r="LH15" s="32">
        <v>3</v>
      </c>
      <c r="LI15" s="33">
        <f t="shared" si="38"/>
        <v>10</v>
      </c>
      <c r="LJ15">
        <f t="shared" si="41"/>
        <v>12.5</v>
      </c>
      <c r="LK15" s="34">
        <v>12</v>
      </c>
      <c r="LL15" s="32">
        <v>0</v>
      </c>
      <c r="LM15" s="32">
        <f>MEDIAN(2,3,3,3,3,3)</f>
        <v>3</v>
      </c>
      <c r="LN15" s="32">
        <v>3</v>
      </c>
      <c r="LO15" s="32">
        <v>0</v>
      </c>
      <c r="LP15" s="32">
        <v>2</v>
      </c>
      <c r="LQ15" s="33">
        <f t="shared" si="39"/>
        <v>8</v>
      </c>
    </row>
    <row r="16" spans="1:330" x14ac:dyDescent="0.35">
      <c r="A16" s="50">
        <v>13</v>
      </c>
      <c r="B16" s="51"/>
      <c r="C16" s="43"/>
      <c r="D16" s="43"/>
      <c r="E16" s="43"/>
      <c r="F16" s="43"/>
      <c r="G16" s="44"/>
      <c r="H16" s="14"/>
      <c r="J16" s="28">
        <v>13</v>
      </c>
      <c r="K16" s="25">
        <v>1</v>
      </c>
      <c r="L16" s="26">
        <f>MEDIAN(3,3,2,2,3,3,3,2,3,3,3,3,2,3,3,3,2,3,3,3)</f>
        <v>3</v>
      </c>
      <c r="M16" s="26">
        <v>2</v>
      </c>
      <c r="N16" s="26">
        <v>2</v>
      </c>
      <c r="O16" s="26">
        <v>1</v>
      </c>
      <c r="P16" s="27">
        <f t="shared" si="1"/>
        <v>9</v>
      </c>
      <c r="R16" s="28">
        <v>13</v>
      </c>
      <c r="S16" s="25">
        <v>3</v>
      </c>
      <c r="T16" s="26">
        <f>MEDIAN(3,3,2,3,3,3,2,3,3,3,3,3,3,3,2,2,1,2,2,3)</f>
        <v>3</v>
      </c>
      <c r="U16" s="26">
        <v>3</v>
      </c>
      <c r="V16" s="26">
        <v>2</v>
      </c>
      <c r="W16" s="26">
        <v>2</v>
      </c>
      <c r="X16" s="27">
        <f t="shared" si="2"/>
        <v>13</v>
      </c>
      <c r="Z16" s="28">
        <v>13</v>
      </c>
      <c r="AA16" s="25">
        <v>1</v>
      </c>
      <c r="AB16" s="26">
        <f>MEDIAN(2,2,2,3,2,2,3,3)</f>
        <v>2</v>
      </c>
      <c r="AC16" s="26">
        <v>2</v>
      </c>
      <c r="AD16" s="26" t="s">
        <v>31</v>
      </c>
      <c r="AE16" s="26">
        <v>1</v>
      </c>
      <c r="AF16" s="27">
        <f t="shared" si="3"/>
        <v>6</v>
      </c>
      <c r="AH16" s="30">
        <v>13</v>
      </c>
      <c r="AI16" s="25">
        <v>2</v>
      </c>
      <c r="AJ16" s="26">
        <f>MEDIAN(3,2,3,3)</f>
        <v>3</v>
      </c>
      <c r="AK16" s="26">
        <v>3</v>
      </c>
      <c r="AL16" s="26">
        <v>1</v>
      </c>
      <c r="AM16" s="26">
        <v>1</v>
      </c>
      <c r="AN16" s="27">
        <f t="shared" si="4"/>
        <v>10</v>
      </c>
      <c r="AP16" s="28">
        <v>13</v>
      </c>
      <c r="AQ16" s="25">
        <v>0</v>
      </c>
      <c r="AR16" s="26">
        <f>MEDIAN(3,2,3,3,2,2,3,3,2,2,2,3,2,3,3,3,2,2,2,3,3,3,3,2,2,2,3,3,3)</f>
        <v>3</v>
      </c>
      <c r="AS16" s="26">
        <v>3</v>
      </c>
      <c r="AT16" s="26">
        <v>3</v>
      </c>
      <c r="AU16" s="26">
        <v>2</v>
      </c>
      <c r="AV16" s="27">
        <f t="shared" si="5"/>
        <v>11</v>
      </c>
      <c r="AX16" s="30">
        <v>13</v>
      </c>
      <c r="AY16" s="25">
        <v>1</v>
      </c>
      <c r="AZ16" s="26">
        <f>MEDIAN(3,3,3,3,3,3,3,3,3)</f>
        <v>3</v>
      </c>
      <c r="BA16" s="26">
        <v>3</v>
      </c>
      <c r="BB16" s="26">
        <v>2</v>
      </c>
      <c r="BC16" s="26">
        <v>2</v>
      </c>
      <c r="BD16" s="27">
        <f t="shared" si="6"/>
        <v>11</v>
      </c>
      <c r="BF16" s="30">
        <v>13</v>
      </c>
      <c r="BG16" s="25">
        <v>1</v>
      </c>
      <c r="BH16" s="26">
        <f>MEDIAN(3,2,1,2,2,2,2,3,3,3,2,2)</f>
        <v>2</v>
      </c>
      <c r="BI16" s="26">
        <v>2</v>
      </c>
      <c r="BJ16" s="26">
        <v>1</v>
      </c>
      <c r="BK16" s="26">
        <v>1</v>
      </c>
      <c r="BL16" s="27">
        <f t="shared" si="7"/>
        <v>7</v>
      </c>
      <c r="BM16" s="14"/>
      <c r="BN16" s="28">
        <v>13</v>
      </c>
      <c r="BO16" s="25">
        <v>3</v>
      </c>
      <c r="BP16" s="26">
        <f>MEDIAN(3,3,3,3,3)</f>
        <v>3</v>
      </c>
      <c r="BQ16" s="26">
        <v>2</v>
      </c>
      <c r="BR16" s="26" t="s">
        <v>31</v>
      </c>
      <c r="BS16" s="26">
        <v>2</v>
      </c>
      <c r="BT16" s="27">
        <f t="shared" si="8"/>
        <v>10</v>
      </c>
      <c r="BU16" s="14"/>
      <c r="BV16" s="29">
        <v>13</v>
      </c>
      <c r="BW16" s="25">
        <v>0</v>
      </c>
      <c r="BX16" s="26">
        <f>MEDIAN(3,2,2,1,3,2,1,0,1,1,2,2,2,3,2,1,2,3)</f>
        <v>2</v>
      </c>
      <c r="BY16" s="26">
        <v>2</v>
      </c>
      <c r="BZ16" s="26">
        <v>3</v>
      </c>
      <c r="CA16" s="26">
        <v>2</v>
      </c>
      <c r="CB16" s="27">
        <f t="shared" si="9"/>
        <v>9</v>
      </c>
      <c r="CC16" s="14"/>
      <c r="CD16" s="30">
        <v>13</v>
      </c>
      <c r="CE16" s="25">
        <v>1</v>
      </c>
      <c r="CF16" s="26">
        <f>MEDIAN(3,2,2,2,3,1,1)</f>
        <v>2</v>
      </c>
      <c r="CG16" s="26">
        <v>2</v>
      </c>
      <c r="CH16" s="26">
        <v>1</v>
      </c>
      <c r="CI16" s="26">
        <v>1</v>
      </c>
      <c r="CJ16" s="27">
        <f t="shared" si="10"/>
        <v>7</v>
      </c>
      <c r="CK16" s="14"/>
      <c r="CL16" s="28">
        <v>13</v>
      </c>
      <c r="CM16" s="25">
        <v>0</v>
      </c>
      <c r="CN16" s="26">
        <f>MEDIAN(3,3,3,3,3,2,3,3,3,3,3,3,3,2,2,2,3,3,3,3,2,2)</f>
        <v>3</v>
      </c>
      <c r="CO16" s="26">
        <v>2</v>
      </c>
      <c r="CP16" s="26">
        <v>2</v>
      </c>
      <c r="CQ16" s="26">
        <v>1</v>
      </c>
      <c r="CR16" s="27">
        <f t="shared" si="11"/>
        <v>8</v>
      </c>
      <c r="CT16" s="30">
        <v>13</v>
      </c>
      <c r="CU16" s="25">
        <v>1</v>
      </c>
      <c r="CV16" s="26">
        <f>MEDIAN(3,3,3,1,3,3,3,3,3,3,3)</f>
        <v>3</v>
      </c>
      <c r="CW16" s="26">
        <v>1</v>
      </c>
      <c r="CX16" s="26">
        <v>1</v>
      </c>
      <c r="CY16" s="26">
        <v>1</v>
      </c>
      <c r="CZ16" s="27">
        <f t="shared" si="12"/>
        <v>7</v>
      </c>
      <c r="DB16" s="30">
        <v>13</v>
      </c>
      <c r="DC16" s="25">
        <v>1</v>
      </c>
      <c r="DD16" s="26">
        <f>MEDIAN(3,3,3,3,3,2,2,3)</f>
        <v>3</v>
      </c>
      <c r="DE16" s="26">
        <v>3</v>
      </c>
      <c r="DF16" s="26">
        <v>1</v>
      </c>
      <c r="DG16" s="26">
        <v>1</v>
      </c>
      <c r="DH16" s="27">
        <f t="shared" si="13"/>
        <v>9</v>
      </c>
      <c r="DJ16" s="31">
        <v>13</v>
      </c>
      <c r="DK16" s="25">
        <v>0</v>
      </c>
      <c r="DL16" s="26">
        <f>MEDIAN(3,3,3,2,3,2,2)</f>
        <v>3</v>
      </c>
      <c r="DM16" s="26">
        <v>2</v>
      </c>
      <c r="DN16" s="26">
        <v>2</v>
      </c>
      <c r="DO16" s="26">
        <v>0</v>
      </c>
      <c r="DP16" s="27">
        <f t="shared" si="14"/>
        <v>7</v>
      </c>
      <c r="DQ16" s="14"/>
      <c r="DR16" s="30">
        <v>13</v>
      </c>
      <c r="DS16" s="25">
        <v>0</v>
      </c>
      <c r="DT16" s="26">
        <f>MEDIAN(3,3,3,3,3,3,3,3,3,3,3)</f>
        <v>3</v>
      </c>
      <c r="DU16" s="26">
        <v>2</v>
      </c>
      <c r="DV16" s="26">
        <v>1</v>
      </c>
      <c r="DW16" s="26">
        <v>1</v>
      </c>
      <c r="DX16" s="27">
        <f t="shared" si="15"/>
        <v>7</v>
      </c>
      <c r="DY16" s="14"/>
      <c r="EA16" s="28">
        <v>13</v>
      </c>
      <c r="EB16" s="8">
        <v>1</v>
      </c>
      <c r="EC16" s="16">
        <f>MEDIAN(3,3,1,3,3,3)</f>
        <v>3</v>
      </c>
      <c r="ED16" s="16">
        <v>3</v>
      </c>
      <c r="EE16" s="16">
        <v>1</v>
      </c>
      <c r="EF16" s="16">
        <v>0</v>
      </c>
      <c r="EG16" s="33">
        <f t="shared" si="17"/>
        <v>8</v>
      </c>
      <c r="EI16" s="34">
        <v>13</v>
      </c>
      <c r="EJ16" s="32">
        <v>1</v>
      </c>
      <c r="EK16" s="32">
        <f>MEDIAN(3,3,2,3,3,3,2,3,3,3,3,2)</f>
        <v>3</v>
      </c>
      <c r="EL16" s="32">
        <v>2</v>
      </c>
      <c r="EM16" s="32">
        <v>0</v>
      </c>
      <c r="EN16" s="32">
        <v>1</v>
      </c>
      <c r="EO16" s="33">
        <f t="shared" si="18"/>
        <v>7</v>
      </c>
      <c r="EQ16" s="37">
        <v>13</v>
      </c>
      <c r="ER16" s="32">
        <v>1</v>
      </c>
      <c r="ES16" s="32">
        <f>MEDIAN(2,3,2,1)</f>
        <v>2</v>
      </c>
      <c r="ET16" s="32">
        <v>2</v>
      </c>
      <c r="EU16" s="36" t="s">
        <v>31</v>
      </c>
      <c r="EV16" s="32">
        <v>0</v>
      </c>
      <c r="EW16" s="33">
        <f t="shared" si="19"/>
        <v>5</v>
      </c>
      <c r="EX16">
        <f>EW16*(5/4)</f>
        <v>6.25</v>
      </c>
      <c r="EY16" s="34">
        <v>13</v>
      </c>
      <c r="EZ16" s="32">
        <v>0</v>
      </c>
      <c r="FA16" s="32">
        <f>MEDIAN(3,3,3,3,3,3,3,3,2,2,3,3,3,3,3,3,3)</f>
        <v>3</v>
      </c>
      <c r="FB16" s="32">
        <v>2</v>
      </c>
      <c r="FC16" s="36">
        <v>0</v>
      </c>
      <c r="FD16" s="32">
        <v>1</v>
      </c>
      <c r="FE16" s="33">
        <f t="shared" si="20"/>
        <v>6</v>
      </c>
      <c r="FG16" s="35">
        <v>13</v>
      </c>
      <c r="FH16" s="32">
        <v>2</v>
      </c>
      <c r="FI16" s="32">
        <f>MEDIAN(2,3,3,3,3,3,3,3,2,2,3,3,3,3)</f>
        <v>3</v>
      </c>
      <c r="FJ16" s="32">
        <v>2</v>
      </c>
      <c r="FK16" s="36">
        <v>2</v>
      </c>
      <c r="FL16" s="32">
        <v>1</v>
      </c>
      <c r="FM16" s="33">
        <f t="shared" si="40"/>
        <v>10</v>
      </c>
      <c r="FO16" s="37">
        <v>13</v>
      </c>
      <c r="FP16" s="32">
        <v>0</v>
      </c>
      <c r="FQ16" s="32">
        <f>MEDIAN(2,2,3,2,3,3,3,3,3,3,3,3,2,3)</f>
        <v>3</v>
      </c>
      <c r="FR16" s="32">
        <v>2</v>
      </c>
      <c r="FS16" s="36">
        <v>2</v>
      </c>
      <c r="FT16" s="32">
        <v>1</v>
      </c>
      <c r="FU16" s="33">
        <f t="shared" si="21"/>
        <v>8</v>
      </c>
      <c r="FW16" s="39">
        <v>13</v>
      </c>
      <c r="FX16" s="32">
        <v>1</v>
      </c>
      <c r="FY16" s="32">
        <f>MEDIAN(2,3,2,2,2,3,2,2,2,3)</f>
        <v>2</v>
      </c>
      <c r="FZ16" s="32">
        <v>1</v>
      </c>
      <c r="GA16" s="36">
        <v>2</v>
      </c>
      <c r="GB16" s="32">
        <v>1</v>
      </c>
      <c r="GC16" s="33">
        <f t="shared" si="22"/>
        <v>7</v>
      </c>
      <c r="GE16" s="46">
        <v>13</v>
      </c>
      <c r="GF16" s="32">
        <v>2</v>
      </c>
      <c r="GG16" s="32">
        <f>MEDIAN(3,3,3,3,3,3,3,3,3,3,3,3,3,3,2,2)</f>
        <v>3</v>
      </c>
      <c r="GH16" s="32">
        <v>2</v>
      </c>
      <c r="GI16" s="36">
        <v>3</v>
      </c>
      <c r="GJ16" s="32">
        <v>2</v>
      </c>
      <c r="GK16" s="33">
        <f t="shared" si="23"/>
        <v>12</v>
      </c>
      <c r="GM16" s="37">
        <v>13</v>
      </c>
      <c r="GN16" s="32">
        <v>1</v>
      </c>
      <c r="GO16" s="32">
        <f>MEDIAN(3,3,3,3,2,3,2,3,3,2,2,2)</f>
        <v>3</v>
      </c>
      <c r="GP16" s="32">
        <v>2</v>
      </c>
      <c r="GQ16" s="32">
        <v>0</v>
      </c>
      <c r="GR16" s="32">
        <v>0</v>
      </c>
      <c r="GS16" s="33">
        <f t="shared" si="24"/>
        <v>6</v>
      </c>
      <c r="GU16" s="34">
        <v>13</v>
      </c>
      <c r="GV16" s="32">
        <v>0</v>
      </c>
      <c r="GW16" s="32">
        <f>MEDIAN(3,3,3,3,3,3,3,2,3,3,3,3,3,3,3)</f>
        <v>3</v>
      </c>
      <c r="GX16" s="32">
        <v>2</v>
      </c>
      <c r="GY16" s="36">
        <v>1</v>
      </c>
      <c r="GZ16" s="32">
        <v>0</v>
      </c>
      <c r="HA16" s="33">
        <f t="shared" si="25"/>
        <v>6</v>
      </c>
      <c r="HC16" s="34">
        <v>13</v>
      </c>
      <c r="HD16" s="32">
        <v>0</v>
      </c>
      <c r="HE16" s="32">
        <f>MEDIAN(3,3,3,3,2,3,3,3,3,2,3,3,3,2,3,3,3,2,2,3,3,2,2)</f>
        <v>3</v>
      </c>
      <c r="HF16" s="32">
        <v>1</v>
      </c>
      <c r="HG16" s="36">
        <v>2</v>
      </c>
      <c r="HH16" s="32">
        <v>1</v>
      </c>
      <c r="HI16" s="33">
        <f t="shared" si="26"/>
        <v>7</v>
      </c>
      <c r="HK16" s="42">
        <v>13</v>
      </c>
      <c r="HL16" s="43"/>
      <c r="HM16" s="43"/>
      <c r="HN16" s="43"/>
      <c r="HO16" s="43"/>
      <c r="HP16" s="43"/>
      <c r="HQ16" s="44"/>
      <c r="HS16" s="34">
        <v>13</v>
      </c>
      <c r="HT16" s="32">
        <v>2</v>
      </c>
      <c r="HU16" s="32">
        <f>MEDIAN(3,3)</f>
        <v>3</v>
      </c>
      <c r="HV16" s="32">
        <v>2</v>
      </c>
      <c r="HW16" s="32">
        <v>1</v>
      </c>
      <c r="HX16" s="32">
        <v>1</v>
      </c>
      <c r="HY16" s="33">
        <f t="shared" si="28"/>
        <v>9</v>
      </c>
      <c r="IA16" s="39">
        <v>13</v>
      </c>
      <c r="IB16" s="32">
        <v>2</v>
      </c>
      <c r="IC16" s="32">
        <f>MEDIAN(3,3,3,3,3,2)</f>
        <v>3</v>
      </c>
      <c r="ID16" s="32">
        <v>1</v>
      </c>
      <c r="IE16" s="36" t="s">
        <v>31</v>
      </c>
      <c r="IF16" s="32">
        <v>1</v>
      </c>
      <c r="IG16" s="33">
        <f t="shared" si="29"/>
        <v>7</v>
      </c>
      <c r="IH16">
        <f>IG16*(5/4)</f>
        <v>8.75</v>
      </c>
      <c r="II16" s="42">
        <v>13</v>
      </c>
      <c r="IJ16" s="43"/>
      <c r="IK16" s="43"/>
      <c r="IL16" s="43"/>
      <c r="IM16" s="43"/>
      <c r="IN16" s="43"/>
      <c r="IO16" s="44"/>
      <c r="IQ16" s="34">
        <v>13</v>
      </c>
      <c r="IR16" s="32">
        <v>0</v>
      </c>
      <c r="IS16" s="32">
        <f>MEDIAN(2,2,2,3,3,2,2,2,2)</f>
        <v>2</v>
      </c>
      <c r="IT16" s="32">
        <v>1</v>
      </c>
      <c r="IU16" s="32">
        <v>0</v>
      </c>
      <c r="IV16" s="32">
        <v>0</v>
      </c>
      <c r="IW16" s="33">
        <f t="shared" si="30"/>
        <v>3</v>
      </c>
      <c r="IY16" s="37">
        <v>13</v>
      </c>
      <c r="IZ16" s="32">
        <v>0</v>
      </c>
      <c r="JA16" s="32">
        <f>MEDIAN(2,3,3,3,3,2,3,3,3,3)</f>
        <v>3</v>
      </c>
      <c r="JB16" s="32">
        <v>2</v>
      </c>
      <c r="JC16" s="32">
        <v>1</v>
      </c>
      <c r="JD16" s="32">
        <v>1</v>
      </c>
      <c r="JE16" s="33">
        <f t="shared" si="31"/>
        <v>7</v>
      </c>
      <c r="JG16" s="34">
        <v>13</v>
      </c>
      <c r="JH16" s="32">
        <v>1</v>
      </c>
      <c r="JI16" s="32">
        <f>MEDIAN(3,3,2,2,3,3,3,2,3,3,3,1,3,2,2,3,1,3)</f>
        <v>3</v>
      </c>
      <c r="JJ16" s="32">
        <v>2</v>
      </c>
      <c r="JK16" s="32">
        <v>3</v>
      </c>
      <c r="JL16" s="32">
        <v>1</v>
      </c>
      <c r="JM16" s="33">
        <f t="shared" si="32"/>
        <v>10</v>
      </c>
      <c r="JO16" s="34">
        <v>13</v>
      </c>
      <c r="JP16" s="32">
        <v>2</v>
      </c>
      <c r="JQ16" s="32">
        <f>MEDIAN(3,3,2,3,2,2,3,3,3,3,3,3,3,3,2,3,3,2,1)</f>
        <v>3</v>
      </c>
      <c r="JR16" s="32">
        <v>2</v>
      </c>
      <c r="JS16" s="32">
        <v>3</v>
      </c>
      <c r="JT16" s="32">
        <v>1</v>
      </c>
      <c r="JU16" s="33">
        <f t="shared" si="33"/>
        <v>11</v>
      </c>
      <c r="JW16" s="34">
        <v>13</v>
      </c>
      <c r="JX16" s="32">
        <v>0</v>
      </c>
      <c r="JY16" s="32">
        <f>MEDIAN(2,2,3,2,2,2,3,3,2,2,3,3,2,3,3,2,2,3,3,3,3,2,2)</f>
        <v>2</v>
      </c>
      <c r="JZ16" s="32">
        <v>3</v>
      </c>
      <c r="KA16" s="32">
        <v>0</v>
      </c>
      <c r="KB16" s="32">
        <v>1</v>
      </c>
      <c r="KC16" s="33">
        <f t="shared" si="34"/>
        <v>6</v>
      </c>
      <c r="KE16" s="34">
        <v>13</v>
      </c>
      <c r="KF16" s="32">
        <v>1</v>
      </c>
      <c r="KG16" s="32">
        <f>MEDIAN(3,3,3,3,3,2,2,3,3,3,2,3,3,3,3,2,3,3,3,3,2,3)</f>
        <v>3</v>
      </c>
      <c r="KH16" s="32">
        <v>2</v>
      </c>
      <c r="KI16" s="32">
        <v>3</v>
      </c>
      <c r="KJ16" s="32">
        <v>2</v>
      </c>
      <c r="KK16" s="33">
        <f t="shared" si="35"/>
        <v>11</v>
      </c>
      <c r="KM16" s="37">
        <v>13</v>
      </c>
      <c r="KN16" s="32">
        <v>0</v>
      </c>
      <c r="KO16" s="32">
        <f>MEDIAN(3,3,3,3,3,3,2,3,3,3,3,3,2,3,2,3,3,2,2,3,3,3,3,3,2,3,3,3,3,2,3,2,3)</f>
        <v>3</v>
      </c>
      <c r="KP16" s="32">
        <v>2</v>
      </c>
      <c r="KQ16" s="32">
        <v>1</v>
      </c>
      <c r="KR16" s="32">
        <v>2</v>
      </c>
      <c r="KS16" s="33">
        <f t="shared" si="36"/>
        <v>8</v>
      </c>
      <c r="KU16" s="34">
        <v>13</v>
      </c>
      <c r="KV16" s="32">
        <v>0</v>
      </c>
      <c r="KW16" s="32">
        <v>3</v>
      </c>
      <c r="KX16" s="32">
        <v>2</v>
      </c>
      <c r="KY16" s="32">
        <v>0</v>
      </c>
      <c r="KZ16" s="32">
        <v>0</v>
      </c>
      <c r="LA16" s="33">
        <f t="shared" si="37"/>
        <v>5</v>
      </c>
      <c r="LC16" s="34">
        <v>13</v>
      </c>
      <c r="LD16" s="32">
        <v>3</v>
      </c>
      <c r="LE16" s="32">
        <f>MEDIAN(3,3,3,3,3,3,3,3,3,3,3,3)</f>
        <v>3</v>
      </c>
      <c r="LF16" s="32">
        <v>2</v>
      </c>
      <c r="LG16" s="36">
        <v>3</v>
      </c>
      <c r="LH16" s="32">
        <v>2</v>
      </c>
      <c r="LI16" s="33">
        <f t="shared" si="38"/>
        <v>13</v>
      </c>
      <c r="LK16" s="34">
        <v>13</v>
      </c>
      <c r="LL16" s="32">
        <v>1</v>
      </c>
      <c r="LM16" s="32">
        <f>MEDIAN(3,2,3,3,3,2,3,3,2,2,3,3,3,2)</f>
        <v>3</v>
      </c>
      <c r="LN16" s="32">
        <v>3</v>
      </c>
      <c r="LO16" s="32">
        <v>0</v>
      </c>
      <c r="LP16" s="32">
        <v>1</v>
      </c>
      <c r="LQ16" s="33">
        <f t="shared" si="39"/>
        <v>8</v>
      </c>
    </row>
    <row r="17" spans="1:329" x14ac:dyDescent="0.35">
      <c r="A17" s="50">
        <v>14</v>
      </c>
      <c r="B17" s="51"/>
      <c r="C17" s="43"/>
      <c r="D17" s="43"/>
      <c r="E17" s="43"/>
      <c r="F17" s="43"/>
      <c r="G17" s="44"/>
      <c r="H17" s="14"/>
      <c r="J17" s="28">
        <v>14</v>
      </c>
      <c r="K17" s="25">
        <v>2</v>
      </c>
      <c r="L17" s="26">
        <f>MEDIAN(3,2,2,3,3,3,3,2,2,3,3,3,2,3,3,2)</f>
        <v>3</v>
      </c>
      <c r="M17" s="26">
        <v>2</v>
      </c>
      <c r="N17" s="26">
        <v>3</v>
      </c>
      <c r="O17" s="26">
        <v>2</v>
      </c>
      <c r="P17" s="27">
        <f t="shared" si="1"/>
        <v>12</v>
      </c>
      <c r="R17" s="30">
        <v>14</v>
      </c>
      <c r="S17" s="25">
        <v>1</v>
      </c>
      <c r="T17" s="26">
        <f>MEDIAN(2,3,2,2,2)</f>
        <v>2</v>
      </c>
      <c r="U17" s="26">
        <v>2</v>
      </c>
      <c r="V17" s="26">
        <v>1</v>
      </c>
      <c r="W17" s="26">
        <v>1</v>
      </c>
      <c r="X17" s="27">
        <f t="shared" si="2"/>
        <v>7</v>
      </c>
      <c r="Z17" s="28">
        <v>14</v>
      </c>
      <c r="AA17" s="25">
        <v>2</v>
      </c>
      <c r="AB17" s="26">
        <f>MEDIAN(2,2,3,2,2,2,2)</f>
        <v>2</v>
      </c>
      <c r="AC17" s="26">
        <v>2</v>
      </c>
      <c r="AD17" s="26" t="s">
        <v>31</v>
      </c>
      <c r="AE17" s="26">
        <v>2</v>
      </c>
      <c r="AF17" s="27">
        <f t="shared" si="3"/>
        <v>8</v>
      </c>
      <c r="AH17" s="30">
        <v>14</v>
      </c>
      <c r="AI17" s="25">
        <v>1</v>
      </c>
      <c r="AJ17" s="26">
        <f>MEDIAN(3,3,3,3,3)</f>
        <v>3</v>
      </c>
      <c r="AK17" s="26">
        <v>1</v>
      </c>
      <c r="AL17" s="26">
        <v>1</v>
      </c>
      <c r="AM17" s="26">
        <v>1</v>
      </c>
      <c r="AN17" s="27">
        <f t="shared" si="4"/>
        <v>7</v>
      </c>
      <c r="AP17" s="30">
        <v>14</v>
      </c>
      <c r="AQ17" s="25">
        <v>0</v>
      </c>
      <c r="AR17" s="26">
        <f>MEDIAN(3,3,3,3,3,3,3,3,3,3,1,2,2,2,3,3,2,2,2,3,2,3,2,3,2,)</f>
        <v>3</v>
      </c>
      <c r="AS17" s="26">
        <v>2</v>
      </c>
      <c r="AT17" s="26">
        <v>2</v>
      </c>
      <c r="AU17" s="26">
        <v>2</v>
      </c>
      <c r="AV17" s="27">
        <f t="shared" si="5"/>
        <v>9</v>
      </c>
      <c r="AX17" s="30">
        <v>14</v>
      </c>
      <c r="AY17" s="25">
        <v>1</v>
      </c>
      <c r="AZ17" s="26">
        <f>MEDIAN(3,3,3,3,3,3)</f>
        <v>3</v>
      </c>
      <c r="BA17" s="26">
        <v>2</v>
      </c>
      <c r="BB17" s="26">
        <v>1</v>
      </c>
      <c r="BC17" s="26">
        <v>1</v>
      </c>
      <c r="BD17" s="27">
        <f t="shared" si="6"/>
        <v>8</v>
      </c>
      <c r="BF17" s="50">
        <v>14</v>
      </c>
      <c r="BG17" s="51"/>
      <c r="BH17" s="43"/>
      <c r="BI17" s="43"/>
      <c r="BJ17" s="43"/>
      <c r="BK17" s="43"/>
      <c r="BL17" s="44"/>
      <c r="BM17" s="14"/>
      <c r="BN17" s="28">
        <v>14</v>
      </c>
      <c r="BO17" s="25">
        <v>3</v>
      </c>
      <c r="BP17" s="26">
        <f>MEDIAN(3,3,3,3,3)</f>
        <v>3</v>
      </c>
      <c r="BQ17" s="26">
        <v>2</v>
      </c>
      <c r="BR17" s="26" t="s">
        <v>31</v>
      </c>
      <c r="BS17" s="26">
        <v>2</v>
      </c>
      <c r="BT17" s="27">
        <f t="shared" si="8"/>
        <v>10</v>
      </c>
      <c r="BU17" s="14"/>
      <c r="BV17" s="28">
        <v>14</v>
      </c>
      <c r="BW17" s="25">
        <v>0</v>
      </c>
      <c r="BX17" s="26">
        <f>MEDIAN(2,2,3,2,3,2,2,1,2,2,3,2,2,2,2,1,3,3,3)</f>
        <v>2</v>
      </c>
      <c r="BY17" s="26">
        <v>2</v>
      </c>
      <c r="BZ17" s="26">
        <v>3</v>
      </c>
      <c r="CA17" s="26">
        <v>2</v>
      </c>
      <c r="CB17" s="27">
        <f t="shared" si="9"/>
        <v>9</v>
      </c>
      <c r="CC17" s="14"/>
      <c r="CD17" s="28">
        <v>14</v>
      </c>
      <c r="CE17" s="25">
        <v>0</v>
      </c>
      <c r="CF17" s="26">
        <f>MEDIAN(3,2,2,3,3,3,2,2)</f>
        <v>2.5</v>
      </c>
      <c r="CG17" s="26">
        <v>3</v>
      </c>
      <c r="CH17" s="26">
        <v>0</v>
      </c>
      <c r="CI17" s="26">
        <v>3</v>
      </c>
      <c r="CJ17" s="27">
        <f t="shared" si="10"/>
        <v>8.5</v>
      </c>
      <c r="CK17" s="14"/>
      <c r="CL17" s="28">
        <v>14</v>
      </c>
      <c r="CM17" s="25">
        <v>0</v>
      </c>
      <c r="CN17" s="26">
        <f>MEDIAN(3,3,3,3,3,3,2,2)</f>
        <v>3</v>
      </c>
      <c r="CO17" s="26">
        <v>2</v>
      </c>
      <c r="CP17" s="26">
        <v>3</v>
      </c>
      <c r="CQ17" s="26">
        <v>1</v>
      </c>
      <c r="CR17" s="27">
        <f t="shared" si="11"/>
        <v>9</v>
      </c>
      <c r="CT17" s="30">
        <v>14</v>
      </c>
      <c r="CU17" s="25">
        <v>0</v>
      </c>
      <c r="CV17" s="26">
        <f>MEDIAN(3,3,3,3,3,3,2,3,3,3,3,3,3,2,3)</f>
        <v>3</v>
      </c>
      <c r="CW17" s="26">
        <v>1</v>
      </c>
      <c r="CX17" s="26">
        <v>2</v>
      </c>
      <c r="CY17" s="26">
        <v>1</v>
      </c>
      <c r="CZ17" s="27">
        <f t="shared" si="12"/>
        <v>7</v>
      </c>
      <c r="DB17" s="30">
        <v>14</v>
      </c>
      <c r="DC17" s="25">
        <v>0</v>
      </c>
      <c r="DD17" s="26">
        <f>MEDIAN(3,3,3,2,3,3,3,3)</f>
        <v>3</v>
      </c>
      <c r="DE17" s="26">
        <v>3</v>
      </c>
      <c r="DF17" s="26">
        <v>1</v>
      </c>
      <c r="DG17" s="26">
        <v>1</v>
      </c>
      <c r="DH17" s="27">
        <f t="shared" si="13"/>
        <v>8</v>
      </c>
      <c r="DJ17" s="31">
        <v>14</v>
      </c>
      <c r="DK17" s="25">
        <v>0</v>
      </c>
      <c r="DL17" s="26">
        <f>MEDIAN(3,3,3,3,3)</f>
        <v>3</v>
      </c>
      <c r="DM17" s="26">
        <v>2</v>
      </c>
      <c r="DN17" s="26">
        <v>3</v>
      </c>
      <c r="DO17" s="26">
        <v>1</v>
      </c>
      <c r="DP17" s="27">
        <f t="shared" si="14"/>
        <v>9</v>
      </c>
      <c r="DQ17" s="14"/>
      <c r="DR17" s="30">
        <v>14</v>
      </c>
      <c r="DS17" s="25">
        <v>1</v>
      </c>
      <c r="DT17" s="26">
        <f>MEDIAN(3,3,2,3,3,3,3,3,3,3,2,2,3)</f>
        <v>3</v>
      </c>
      <c r="DU17" s="26">
        <v>3</v>
      </c>
      <c r="DV17" s="26">
        <v>3</v>
      </c>
      <c r="DW17" s="26">
        <v>1</v>
      </c>
      <c r="DX17" s="27">
        <f t="shared" si="15"/>
        <v>11</v>
      </c>
      <c r="DY17" s="14"/>
      <c r="EA17" s="28">
        <v>14</v>
      </c>
      <c r="EB17" s="25">
        <v>0</v>
      </c>
      <c r="EC17" s="32">
        <f>MEDIAN(2,2,3,3,3,3,3,2,3,3,2,3)</f>
        <v>3</v>
      </c>
      <c r="ED17" s="32">
        <v>3</v>
      </c>
      <c r="EE17" s="32">
        <v>0</v>
      </c>
      <c r="EF17" s="32">
        <v>1</v>
      </c>
      <c r="EG17" s="33">
        <f t="shared" si="17"/>
        <v>7</v>
      </c>
      <c r="EI17" s="34">
        <v>14</v>
      </c>
      <c r="EJ17" s="32">
        <v>0</v>
      </c>
      <c r="EK17" s="32">
        <f>MEDIAN(2,3,3,2,2,2,3,3,2,2,3,2,2,3,3,3,2,2,2,2)</f>
        <v>2</v>
      </c>
      <c r="EL17" s="32">
        <v>2</v>
      </c>
      <c r="EM17" s="32">
        <v>1</v>
      </c>
      <c r="EN17" s="32">
        <v>1</v>
      </c>
      <c r="EO17" s="33">
        <f t="shared" si="18"/>
        <v>6</v>
      </c>
      <c r="EQ17" s="34">
        <v>14</v>
      </c>
      <c r="ER17" s="32">
        <v>0</v>
      </c>
      <c r="ES17" s="32">
        <f>MEDIAN(2,3,3,3,2,3,3)</f>
        <v>3</v>
      </c>
      <c r="ET17" s="32">
        <v>2</v>
      </c>
      <c r="EU17" s="36" t="s">
        <v>31</v>
      </c>
      <c r="EV17" s="32">
        <v>1</v>
      </c>
      <c r="EW17" s="33">
        <f t="shared" si="19"/>
        <v>6</v>
      </c>
      <c r="EX17">
        <f>EW17*(5/4)</f>
        <v>7.5</v>
      </c>
      <c r="EY17" s="34">
        <v>14</v>
      </c>
      <c r="EZ17" s="32">
        <v>0</v>
      </c>
      <c r="FA17" s="32">
        <f>MEDIAN(3,3,3,2,3,3,3,3,3,3,3,3,3,3,3)</f>
        <v>3</v>
      </c>
      <c r="FB17" s="32">
        <v>1</v>
      </c>
      <c r="FC17" s="36">
        <v>1</v>
      </c>
      <c r="FD17" s="32">
        <v>1</v>
      </c>
      <c r="FE17" s="33">
        <f t="shared" si="20"/>
        <v>6</v>
      </c>
      <c r="FG17" s="35">
        <v>14</v>
      </c>
      <c r="FH17" s="32">
        <v>2</v>
      </c>
      <c r="FI17" s="32">
        <f>MEDIAN(3,2,2,3,2,3,3,3)</f>
        <v>3</v>
      </c>
      <c r="FJ17" s="32">
        <v>3</v>
      </c>
      <c r="FK17" s="36">
        <v>2</v>
      </c>
      <c r="FL17" s="32">
        <v>1</v>
      </c>
      <c r="FM17" s="33">
        <f t="shared" si="40"/>
        <v>11</v>
      </c>
      <c r="FO17" s="37">
        <v>14</v>
      </c>
      <c r="FP17" s="32">
        <v>0</v>
      </c>
      <c r="FQ17" s="32">
        <f>MEDIAN(3,3,2,3,3,3,3,3,3,2,3,2)</f>
        <v>3</v>
      </c>
      <c r="FR17" s="32">
        <v>2</v>
      </c>
      <c r="FS17" s="36">
        <v>1</v>
      </c>
      <c r="FT17" s="32">
        <v>2</v>
      </c>
      <c r="FU17" s="33">
        <f t="shared" si="21"/>
        <v>8</v>
      </c>
      <c r="FW17" s="34">
        <v>14</v>
      </c>
      <c r="FX17" s="32">
        <v>1</v>
      </c>
      <c r="FY17" s="32">
        <f>MEDIAN(3,3,3,3,2,2,2,2,2,2,3,2,3,2,3,3,2,3,2,2,2,3,3,2,2,2,3,2,2,3,3,3,2,2,2,2,2,2,3,2,2,2,2,3)</f>
        <v>2</v>
      </c>
      <c r="FZ17" s="32">
        <v>2</v>
      </c>
      <c r="GA17" s="36">
        <v>2</v>
      </c>
      <c r="GB17" s="32">
        <v>1</v>
      </c>
      <c r="GC17" s="33">
        <f t="shared" si="22"/>
        <v>8</v>
      </c>
      <c r="GE17" s="34">
        <v>14</v>
      </c>
      <c r="GF17" s="32">
        <v>1</v>
      </c>
      <c r="GG17" s="32">
        <f>MEDIAN(2,3,2,3,3,3,3,2)</f>
        <v>3</v>
      </c>
      <c r="GH17" s="32">
        <v>2</v>
      </c>
      <c r="GI17" s="36">
        <v>1</v>
      </c>
      <c r="GJ17" s="32">
        <v>1</v>
      </c>
      <c r="GK17" s="33">
        <f t="shared" si="23"/>
        <v>8</v>
      </c>
      <c r="GM17" s="37">
        <v>14</v>
      </c>
      <c r="GN17" s="32">
        <v>1</v>
      </c>
      <c r="GO17" s="32">
        <f>MEDIAN(3,3,2,3,2,2,1,2,2,2,3,2,3,3,2,3)</f>
        <v>2</v>
      </c>
      <c r="GP17" s="32">
        <v>3</v>
      </c>
      <c r="GQ17" s="32">
        <v>1</v>
      </c>
      <c r="GR17" s="32">
        <v>1</v>
      </c>
      <c r="GS17" s="33">
        <f t="shared" si="24"/>
        <v>8</v>
      </c>
      <c r="GU17" s="34">
        <v>14</v>
      </c>
      <c r="GV17" s="32">
        <v>0</v>
      </c>
      <c r="GW17" s="32">
        <f>MEDIAN(3,3,2,3,3,2,3,2,3,2,3,2,3,3)</f>
        <v>3</v>
      </c>
      <c r="GX17" s="32">
        <v>1</v>
      </c>
      <c r="GY17" s="36">
        <v>0</v>
      </c>
      <c r="GZ17" s="32">
        <v>1</v>
      </c>
      <c r="HA17" s="33">
        <f t="shared" si="25"/>
        <v>5</v>
      </c>
      <c r="HC17" s="34">
        <v>14</v>
      </c>
      <c r="HD17" s="32">
        <v>0</v>
      </c>
      <c r="HE17" s="32">
        <f>MEDIAN(3,3,2,3,3)</f>
        <v>3</v>
      </c>
      <c r="HF17" s="32">
        <v>1</v>
      </c>
      <c r="HG17" s="36">
        <v>3</v>
      </c>
      <c r="HH17" s="32">
        <v>1</v>
      </c>
      <c r="HI17" s="33">
        <f t="shared" si="26"/>
        <v>8</v>
      </c>
      <c r="HK17" s="42">
        <v>14</v>
      </c>
      <c r="HL17" s="43"/>
      <c r="HM17" s="43"/>
      <c r="HN17" s="43"/>
      <c r="HO17" s="43"/>
      <c r="HP17" s="43"/>
      <c r="HQ17" s="44"/>
      <c r="HS17" s="37">
        <v>14</v>
      </c>
      <c r="HT17" s="32">
        <v>1</v>
      </c>
      <c r="HU17" s="32">
        <f>MEDIAN(2,2,2,3)</f>
        <v>2</v>
      </c>
      <c r="HV17" s="32">
        <v>3</v>
      </c>
      <c r="HW17" s="32">
        <v>1</v>
      </c>
      <c r="HX17" s="32">
        <v>2</v>
      </c>
      <c r="HY17" s="33">
        <f t="shared" si="28"/>
        <v>9</v>
      </c>
      <c r="IA17" s="39">
        <v>14</v>
      </c>
      <c r="IB17" s="32">
        <v>2</v>
      </c>
      <c r="IC17" s="32">
        <f>MEDIAN(3,3,3,3,3,3,2,2,3)</f>
        <v>3</v>
      </c>
      <c r="ID17" s="32">
        <v>1</v>
      </c>
      <c r="IE17" s="32">
        <v>1</v>
      </c>
      <c r="IF17" s="32">
        <v>1</v>
      </c>
      <c r="IG17" s="33">
        <f t="shared" si="29"/>
        <v>8</v>
      </c>
      <c r="II17" s="42">
        <v>14</v>
      </c>
      <c r="IJ17" s="43"/>
      <c r="IK17" s="43"/>
      <c r="IL17" s="43"/>
      <c r="IM17" s="43"/>
      <c r="IN17" s="43"/>
      <c r="IO17" s="44"/>
      <c r="IQ17" s="34">
        <v>14</v>
      </c>
      <c r="IR17" s="32">
        <v>0</v>
      </c>
      <c r="IS17" s="32">
        <f>MEDIAN(3,3,3,2,3,2,3,2,3,3)</f>
        <v>3</v>
      </c>
      <c r="IT17" s="32">
        <v>3</v>
      </c>
      <c r="IU17" s="32">
        <v>1</v>
      </c>
      <c r="IV17" s="32">
        <v>1</v>
      </c>
      <c r="IW17" s="33">
        <f t="shared" si="30"/>
        <v>8</v>
      </c>
      <c r="IY17" s="37">
        <v>14</v>
      </c>
      <c r="IZ17" s="32">
        <v>1</v>
      </c>
      <c r="JA17" s="32">
        <f>MEDIAN(1,2,1,3,3,2,2,2,3,3,3,3,3)</f>
        <v>3</v>
      </c>
      <c r="JB17" s="32">
        <v>2</v>
      </c>
      <c r="JC17" s="32">
        <v>1</v>
      </c>
      <c r="JD17" s="32">
        <v>1</v>
      </c>
      <c r="JE17" s="33">
        <f t="shared" si="31"/>
        <v>8</v>
      </c>
      <c r="JG17" s="34">
        <v>14</v>
      </c>
      <c r="JH17" s="32">
        <v>2</v>
      </c>
      <c r="JI17" s="32">
        <f>MEDIAN(3,2,2,3,3,2,2,3,3)</f>
        <v>3</v>
      </c>
      <c r="JJ17" s="32">
        <v>2</v>
      </c>
      <c r="JK17" s="32">
        <v>3</v>
      </c>
      <c r="JL17" s="32">
        <v>1</v>
      </c>
      <c r="JM17" s="33">
        <f t="shared" si="32"/>
        <v>11</v>
      </c>
      <c r="JO17" s="57">
        <v>14</v>
      </c>
      <c r="JP17" s="32">
        <v>1</v>
      </c>
      <c r="JQ17" s="32">
        <f>MEDIAN(3,3,3,2,3,3)</f>
        <v>3</v>
      </c>
      <c r="JR17" s="32">
        <v>2</v>
      </c>
      <c r="JS17" s="32">
        <v>3</v>
      </c>
      <c r="JT17" s="32">
        <v>2</v>
      </c>
      <c r="JU17" s="33">
        <f t="shared" si="33"/>
        <v>11</v>
      </c>
      <c r="JW17" s="34">
        <v>14</v>
      </c>
      <c r="JX17" s="32">
        <v>0</v>
      </c>
      <c r="JY17" s="32">
        <f>MEDIAN(3,2,2,3,2,2,3,2,3,2,3,3,3,2)</f>
        <v>2.5</v>
      </c>
      <c r="JZ17" s="32">
        <v>3</v>
      </c>
      <c r="KA17" s="32">
        <v>0</v>
      </c>
      <c r="KB17" s="32">
        <v>0</v>
      </c>
      <c r="KC17" s="33">
        <f t="shared" si="34"/>
        <v>5.5</v>
      </c>
      <c r="KE17" s="34">
        <v>14</v>
      </c>
      <c r="KF17" s="32">
        <v>0</v>
      </c>
      <c r="KG17" s="32">
        <f>MEDIAN(3,3,3,3,3,3,3,3,3,3,3,3,3)</f>
        <v>3</v>
      </c>
      <c r="KH17" s="32">
        <v>2</v>
      </c>
      <c r="KI17" s="32">
        <v>0</v>
      </c>
      <c r="KJ17" s="32">
        <v>1</v>
      </c>
      <c r="KK17" s="33">
        <f t="shared" si="35"/>
        <v>6</v>
      </c>
      <c r="KM17" s="37">
        <v>14</v>
      </c>
      <c r="KN17" s="32">
        <v>1</v>
      </c>
      <c r="KO17" s="32">
        <f>MEDIAN(2,3,3,3,3,3,3,2,3,2)</f>
        <v>3</v>
      </c>
      <c r="KP17" s="32">
        <v>3</v>
      </c>
      <c r="KQ17" s="32">
        <v>1</v>
      </c>
      <c r="KR17" s="32">
        <v>2</v>
      </c>
      <c r="KS17" s="33">
        <f t="shared" si="36"/>
        <v>10</v>
      </c>
      <c r="KU17" s="34">
        <v>14</v>
      </c>
      <c r="KV17" s="32">
        <v>0</v>
      </c>
      <c r="KW17" s="32">
        <f>MEDIAN(3,3,3,3,3,3,2,3,3,2,3,3,2,3)</f>
        <v>3</v>
      </c>
      <c r="KX17" s="32">
        <v>3</v>
      </c>
      <c r="KY17" s="32">
        <v>2</v>
      </c>
      <c r="KZ17" s="32">
        <v>1</v>
      </c>
      <c r="LA17" s="33">
        <f t="shared" si="37"/>
        <v>9</v>
      </c>
      <c r="LC17" s="34">
        <v>14</v>
      </c>
      <c r="LD17" s="32">
        <v>3</v>
      </c>
      <c r="LE17" s="32">
        <f>MEDIAN(3,3,3,3,3,3,3,3,3,3,3,3,3,3,3)</f>
        <v>3</v>
      </c>
      <c r="LF17" s="32">
        <v>3</v>
      </c>
      <c r="LG17" s="36" t="s">
        <v>31</v>
      </c>
      <c r="LH17" s="32">
        <v>3</v>
      </c>
      <c r="LI17" s="33">
        <f t="shared" si="38"/>
        <v>12</v>
      </c>
      <c r="LJ17">
        <f t="shared" si="41"/>
        <v>15</v>
      </c>
      <c r="LK17" s="42">
        <v>14</v>
      </c>
      <c r="LL17" s="43"/>
      <c r="LM17" s="43"/>
      <c r="LN17" s="43"/>
      <c r="LO17" s="43"/>
      <c r="LP17" s="43"/>
      <c r="LQ17" s="44"/>
    </row>
    <row r="18" spans="1:329" ht="15" thickBot="1" x14ac:dyDescent="0.4">
      <c r="A18" s="50">
        <v>15</v>
      </c>
      <c r="B18" s="51"/>
      <c r="C18" s="43"/>
      <c r="D18" s="43"/>
      <c r="E18" s="43"/>
      <c r="F18" s="43"/>
      <c r="G18" s="44"/>
      <c r="H18" s="14"/>
      <c r="J18" s="28">
        <v>15</v>
      </c>
      <c r="K18" s="25">
        <v>2</v>
      </c>
      <c r="L18" s="26">
        <f>MEDIAN(3,2,3,2,3,3,3,2,3,3,2,3,3,3)</f>
        <v>3</v>
      </c>
      <c r="M18" s="26">
        <v>2</v>
      </c>
      <c r="N18" s="26">
        <v>3</v>
      </c>
      <c r="O18" s="26">
        <v>2</v>
      </c>
      <c r="P18" s="27">
        <f t="shared" si="1"/>
        <v>12</v>
      </c>
      <c r="R18" s="28">
        <v>15</v>
      </c>
      <c r="S18" s="25">
        <v>2</v>
      </c>
      <c r="T18" s="26">
        <f>MEDIAN(3,3,3,3,3,3,2,3,3,3,3,3,2,3,3,3,3,3,3,3,3,3,3,3,3,3,3)</f>
        <v>3</v>
      </c>
      <c r="U18" s="26">
        <v>2</v>
      </c>
      <c r="V18" s="26">
        <v>3</v>
      </c>
      <c r="W18" s="26">
        <v>1</v>
      </c>
      <c r="X18" s="27">
        <f t="shared" si="2"/>
        <v>11</v>
      </c>
      <c r="Z18" s="28">
        <v>15</v>
      </c>
      <c r="AA18" s="25">
        <v>1</v>
      </c>
      <c r="AB18" s="26">
        <f>MEDIAN(2,2,2,2,2,2,2,2,2,2,2)</f>
        <v>2</v>
      </c>
      <c r="AC18" s="26">
        <v>2</v>
      </c>
      <c r="AD18" s="26">
        <v>3</v>
      </c>
      <c r="AE18" s="26">
        <v>2</v>
      </c>
      <c r="AF18" s="27">
        <f t="shared" si="3"/>
        <v>10</v>
      </c>
      <c r="AH18" s="30">
        <v>15</v>
      </c>
      <c r="AI18" s="25">
        <v>1</v>
      </c>
      <c r="AJ18" s="26">
        <f>MEDIAN(2,2,3,3,3,3,2,2,3,2,2,2)</f>
        <v>2</v>
      </c>
      <c r="AK18" s="26">
        <v>3</v>
      </c>
      <c r="AL18" s="26">
        <v>1</v>
      </c>
      <c r="AM18" s="26">
        <v>1</v>
      </c>
      <c r="AN18" s="27">
        <f t="shared" si="4"/>
        <v>8</v>
      </c>
      <c r="AP18" s="29">
        <v>15</v>
      </c>
      <c r="AQ18" s="25">
        <v>0</v>
      </c>
      <c r="AR18" s="26">
        <f>MEDIAN(2,3,3,3,3,3,3,3,3,3,3,3,2,2,3,2,3,1,3)</f>
        <v>3</v>
      </c>
      <c r="AS18" s="26">
        <v>3</v>
      </c>
      <c r="AT18" s="26">
        <v>3</v>
      </c>
      <c r="AU18" s="26">
        <v>1</v>
      </c>
      <c r="AV18" s="27">
        <f t="shared" si="5"/>
        <v>10</v>
      </c>
      <c r="AX18" s="29">
        <v>15</v>
      </c>
      <c r="AY18" s="25">
        <v>1</v>
      </c>
      <c r="AZ18" s="26">
        <f>MEDIAN(3,2,2,2,3,2,3,2,3,3,2,2,3,3,2,2,3,3,2,3,3,2,2,2,3,3,2,3)</f>
        <v>2.5</v>
      </c>
      <c r="BA18" s="26">
        <v>3</v>
      </c>
      <c r="BB18" s="26">
        <v>3</v>
      </c>
      <c r="BC18" s="26">
        <v>1</v>
      </c>
      <c r="BD18" s="27">
        <f t="shared" si="6"/>
        <v>10.5</v>
      </c>
      <c r="BF18" s="50">
        <v>15</v>
      </c>
      <c r="BG18" s="51"/>
      <c r="BH18" s="43"/>
      <c r="BI18" s="43"/>
      <c r="BJ18" s="43"/>
      <c r="BK18" s="43"/>
      <c r="BL18" s="44"/>
      <c r="BM18" s="14"/>
      <c r="BN18" s="28">
        <v>15</v>
      </c>
      <c r="BO18" s="25">
        <v>3</v>
      </c>
      <c r="BP18" s="26">
        <f>MEDIAN(3,3,3,3,2,3,3,2)</f>
        <v>3</v>
      </c>
      <c r="BQ18" s="26">
        <v>1</v>
      </c>
      <c r="BR18" s="26" t="s">
        <v>31</v>
      </c>
      <c r="BS18" s="26">
        <v>2</v>
      </c>
      <c r="BT18" s="27">
        <f t="shared" si="8"/>
        <v>9</v>
      </c>
      <c r="BU18" s="14"/>
      <c r="BV18" s="29">
        <v>15</v>
      </c>
      <c r="BW18" s="25">
        <v>1</v>
      </c>
      <c r="BX18" s="26">
        <f>MEDIAN(1,2,1,2,2,2,2,2,2,1)</f>
        <v>2</v>
      </c>
      <c r="BY18" s="26">
        <v>2</v>
      </c>
      <c r="BZ18" s="26">
        <v>3</v>
      </c>
      <c r="CA18" s="26">
        <v>2</v>
      </c>
      <c r="CB18" s="27">
        <f t="shared" si="9"/>
        <v>10</v>
      </c>
      <c r="CC18" s="14"/>
      <c r="CD18" s="28">
        <v>15</v>
      </c>
      <c r="CE18" s="25">
        <v>0</v>
      </c>
      <c r="CF18" s="26">
        <f>MEDIAN(3,2,3,3,2,2,3,3,2,2,3)</f>
        <v>3</v>
      </c>
      <c r="CG18" s="26">
        <v>3</v>
      </c>
      <c r="CH18" s="26">
        <v>1</v>
      </c>
      <c r="CI18" s="26">
        <v>2</v>
      </c>
      <c r="CJ18" s="27">
        <f t="shared" si="10"/>
        <v>9</v>
      </c>
      <c r="CK18" s="14"/>
      <c r="CL18" s="28">
        <v>15</v>
      </c>
      <c r="CM18" s="25">
        <v>0</v>
      </c>
      <c r="CN18" s="26">
        <f>MEDIAN(3,3,3,2,3,3,3,2,3)</f>
        <v>3</v>
      </c>
      <c r="CO18" s="26">
        <v>2</v>
      </c>
      <c r="CP18" s="26">
        <v>3</v>
      </c>
      <c r="CQ18" s="26">
        <v>2</v>
      </c>
      <c r="CR18" s="27">
        <f t="shared" si="11"/>
        <v>10</v>
      </c>
      <c r="CT18" s="30">
        <v>15</v>
      </c>
      <c r="CU18" s="25">
        <v>0</v>
      </c>
      <c r="CV18" s="26">
        <f>MEDIAN(3,3,3,3,3,3,3,3)</f>
        <v>3</v>
      </c>
      <c r="CW18" s="26">
        <v>3</v>
      </c>
      <c r="CX18" s="26">
        <v>2</v>
      </c>
      <c r="CY18" s="26">
        <v>1</v>
      </c>
      <c r="CZ18" s="27">
        <f t="shared" si="12"/>
        <v>9</v>
      </c>
      <c r="DB18" s="30">
        <v>15</v>
      </c>
      <c r="DC18" s="25">
        <v>0</v>
      </c>
      <c r="DD18" s="26">
        <f>MEDIAN(3,3,3,3,3,3,3,3)</f>
        <v>3</v>
      </c>
      <c r="DE18" s="26">
        <v>3</v>
      </c>
      <c r="DF18" s="26">
        <v>3</v>
      </c>
      <c r="DG18" s="26">
        <v>1</v>
      </c>
      <c r="DH18" s="27">
        <f t="shared" si="13"/>
        <v>10</v>
      </c>
      <c r="DJ18" s="30">
        <v>15</v>
      </c>
      <c r="DK18" s="25">
        <v>0</v>
      </c>
      <c r="DL18" s="26">
        <f>MEDIAN(1,3,2,2,3,2,3,2,2,2,3,3)</f>
        <v>2</v>
      </c>
      <c r="DM18" s="26">
        <v>2</v>
      </c>
      <c r="DN18" s="26">
        <v>1</v>
      </c>
      <c r="DO18" s="26">
        <v>1</v>
      </c>
      <c r="DP18" s="27">
        <f t="shared" si="14"/>
        <v>6</v>
      </c>
      <c r="DQ18" s="14"/>
      <c r="DR18" s="31">
        <v>15</v>
      </c>
      <c r="DS18" s="25">
        <v>1</v>
      </c>
      <c r="DT18" s="26">
        <f>MEDIAN(3,3,2,3,2,3,3,3,3,3,2)</f>
        <v>3</v>
      </c>
      <c r="DU18" s="26">
        <v>2</v>
      </c>
      <c r="DV18" s="26">
        <v>1</v>
      </c>
      <c r="DW18" s="26">
        <v>1</v>
      </c>
      <c r="DX18" s="27">
        <f t="shared" si="15"/>
        <v>8</v>
      </c>
      <c r="DY18" s="14"/>
      <c r="EA18" s="28">
        <v>15</v>
      </c>
      <c r="EB18" s="52">
        <v>2</v>
      </c>
      <c r="EC18" s="53">
        <f>MEDIAN(3,3,2,3,3,3)</f>
        <v>3</v>
      </c>
      <c r="ED18" s="53">
        <v>3</v>
      </c>
      <c r="EE18" s="53">
        <v>1</v>
      </c>
      <c r="EF18" s="53">
        <v>0</v>
      </c>
      <c r="EG18" s="33">
        <f t="shared" si="17"/>
        <v>9</v>
      </c>
      <c r="EI18" s="34">
        <v>15</v>
      </c>
      <c r="EJ18" s="32">
        <v>1</v>
      </c>
      <c r="EK18" s="32">
        <f>MEDIAN(3,3,3,3,2,3,3,3,3,3,3,3,3,3,3,3,3,2)</f>
        <v>3</v>
      </c>
      <c r="EL18" s="32">
        <v>2</v>
      </c>
      <c r="EM18" s="32">
        <v>2</v>
      </c>
      <c r="EN18" s="32">
        <v>1</v>
      </c>
      <c r="EO18" s="33">
        <f t="shared" si="18"/>
        <v>9</v>
      </c>
      <c r="EQ18" s="37">
        <v>15</v>
      </c>
      <c r="ER18" s="32">
        <v>2</v>
      </c>
      <c r="ES18" s="32">
        <f>MEDIAN(2,3,3,3,2,3,3)</f>
        <v>3</v>
      </c>
      <c r="ET18" s="32">
        <v>1</v>
      </c>
      <c r="EU18" s="36">
        <v>1</v>
      </c>
      <c r="EV18" s="32">
        <v>1</v>
      </c>
      <c r="EW18" s="33">
        <f t="shared" si="19"/>
        <v>8</v>
      </c>
      <c r="EY18" s="35">
        <v>15</v>
      </c>
      <c r="EZ18" s="32">
        <v>1</v>
      </c>
      <c r="FA18" s="32">
        <f>MEDIAN(2,3,3,3,2,2,3,3,2,2,3,2,3,3,2,2,3)</f>
        <v>3</v>
      </c>
      <c r="FB18" s="32">
        <v>2</v>
      </c>
      <c r="FC18" s="36">
        <v>2</v>
      </c>
      <c r="FD18" s="32">
        <v>1</v>
      </c>
      <c r="FE18" s="33">
        <f t="shared" si="20"/>
        <v>9</v>
      </c>
      <c r="FG18" s="35">
        <v>15</v>
      </c>
      <c r="FH18" s="32">
        <v>2</v>
      </c>
      <c r="FI18" s="32">
        <f>MEDIAN(3,2,3,3,2,2,2,3,3,3,3,3,3,3,2,3,2,2,3,3,3,3,0,3,3)</f>
        <v>3</v>
      </c>
      <c r="FJ18" s="32">
        <v>3</v>
      </c>
      <c r="FK18" s="36" t="s">
        <v>31</v>
      </c>
      <c r="FL18" s="32">
        <v>1</v>
      </c>
      <c r="FM18" s="33">
        <f t="shared" si="40"/>
        <v>9</v>
      </c>
      <c r="FN18">
        <f>FM18*(5/4)</f>
        <v>11.25</v>
      </c>
      <c r="FO18" s="37">
        <v>15</v>
      </c>
      <c r="FP18" s="32">
        <v>0</v>
      </c>
      <c r="FQ18" s="32">
        <f>MEDIAN(3,3,3,3,3,3,3,3,3,3,)</f>
        <v>3</v>
      </c>
      <c r="FR18" s="32">
        <v>2</v>
      </c>
      <c r="FS18" s="36">
        <v>1</v>
      </c>
      <c r="FT18" s="32">
        <v>1</v>
      </c>
      <c r="FU18" s="33">
        <f t="shared" si="21"/>
        <v>7</v>
      </c>
      <c r="FW18" s="34">
        <v>15</v>
      </c>
      <c r="FX18" s="32">
        <v>1</v>
      </c>
      <c r="FY18" s="32">
        <f>MEDIAN(3,3,3,2,2,2,3,3,2,3,3,3,3,2,3,3,3,3,3,3,3,2,2,3,2,3,2,3,3,3,3,3,3,3,3)</f>
        <v>3</v>
      </c>
      <c r="FZ18" s="32">
        <v>3</v>
      </c>
      <c r="GA18" s="36">
        <v>3</v>
      </c>
      <c r="GB18" s="32">
        <v>1</v>
      </c>
      <c r="GC18" s="33">
        <f t="shared" si="22"/>
        <v>11</v>
      </c>
      <c r="GE18" s="34">
        <v>15</v>
      </c>
      <c r="GF18" s="32">
        <v>0</v>
      </c>
      <c r="GG18" s="32">
        <f>MEDIAN(3,3,3,3,3)</f>
        <v>3</v>
      </c>
      <c r="GH18" s="32">
        <v>2</v>
      </c>
      <c r="GI18" s="36">
        <v>1</v>
      </c>
      <c r="GJ18" s="32">
        <v>1</v>
      </c>
      <c r="GK18" s="33">
        <f t="shared" si="23"/>
        <v>7</v>
      </c>
      <c r="GM18" s="56">
        <v>15</v>
      </c>
      <c r="GN18" s="32">
        <v>0</v>
      </c>
      <c r="GO18" s="32">
        <f>MEDIAN(3,2,2,2,3,2,2)</f>
        <v>2</v>
      </c>
      <c r="GP18" s="32">
        <v>2</v>
      </c>
      <c r="GQ18" s="32">
        <v>2</v>
      </c>
      <c r="GR18" s="32">
        <v>1</v>
      </c>
      <c r="GS18" s="33">
        <f t="shared" si="24"/>
        <v>7</v>
      </c>
      <c r="GU18" s="34">
        <v>15</v>
      </c>
      <c r="GV18" s="32">
        <v>0</v>
      </c>
      <c r="GW18" s="32">
        <f>MEDIAN(2,3)</f>
        <v>2.5</v>
      </c>
      <c r="GX18" s="32">
        <v>3</v>
      </c>
      <c r="GY18" s="36">
        <v>0</v>
      </c>
      <c r="GZ18" s="32">
        <v>1</v>
      </c>
      <c r="HA18" s="33">
        <f t="shared" si="25"/>
        <v>6.5</v>
      </c>
      <c r="HC18" s="34">
        <v>15</v>
      </c>
      <c r="HD18" s="32">
        <v>1</v>
      </c>
      <c r="HE18" s="32">
        <f>MEDIAN(3,3,3,3,3,2,3,3,3,3,3)</f>
        <v>3</v>
      </c>
      <c r="HF18" s="32">
        <v>1</v>
      </c>
      <c r="HG18" s="36">
        <v>2</v>
      </c>
      <c r="HH18" s="32">
        <v>1</v>
      </c>
      <c r="HI18" s="33">
        <f t="shared" si="26"/>
        <v>8</v>
      </c>
      <c r="HK18" s="42">
        <v>15</v>
      </c>
      <c r="HL18" s="43"/>
      <c r="HM18" s="43"/>
      <c r="HN18" s="43"/>
      <c r="HO18" s="43"/>
      <c r="HP18" s="43"/>
      <c r="HQ18" s="44"/>
      <c r="HS18" s="37">
        <v>15</v>
      </c>
      <c r="HT18" s="32">
        <v>1</v>
      </c>
      <c r="HU18" s="32">
        <f>MEDIAN(3,3,3,3,3,3,3)</f>
        <v>3</v>
      </c>
      <c r="HV18" s="32">
        <v>1</v>
      </c>
      <c r="HW18" s="32">
        <v>0</v>
      </c>
      <c r="HX18" s="32">
        <v>1</v>
      </c>
      <c r="HY18" s="33">
        <f t="shared" si="28"/>
        <v>6</v>
      </c>
      <c r="IA18" s="34">
        <v>15</v>
      </c>
      <c r="IB18" s="32">
        <v>2</v>
      </c>
      <c r="IC18" s="32">
        <f>MEDIAN(2,2,3,3,3,2,3,3,3,2,3,3,3,3,2,3,3,3,3)</f>
        <v>3</v>
      </c>
      <c r="ID18" s="32">
        <v>1</v>
      </c>
      <c r="IE18" s="32">
        <v>2</v>
      </c>
      <c r="IF18" s="32">
        <v>1</v>
      </c>
      <c r="IG18" s="33">
        <f t="shared" si="29"/>
        <v>9</v>
      </c>
      <c r="II18" s="42">
        <v>15</v>
      </c>
      <c r="IJ18" s="43"/>
      <c r="IK18" s="43"/>
      <c r="IL18" s="43"/>
      <c r="IM18" s="43"/>
      <c r="IN18" s="43"/>
      <c r="IO18" s="44"/>
      <c r="IQ18" s="38">
        <v>15</v>
      </c>
      <c r="IR18" s="32">
        <v>0</v>
      </c>
      <c r="IS18" s="32">
        <f>MEDIAN(3,3,2,2,2,3,2,2,3,2,3,2,2,3,2,2)</f>
        <v>2</v>
      </c>
      <c r="IT18" s="32">
        <v>3</v>
      </c>
      <c r="IU18" s="32">
        <v>1</v>
      </c>
      <c r="IV18" s="32">
        <v>1</v>
      </c>
      <c r="IW18" s="33">
        <f t="shared" si="30"/>
        <v>7</v>
      </c>
      <c r="IY18" s="37">
        <v>15</v>
      </c>
      <c r="IZ18" s="32">
        <v>0</v>
      </c>
      <c r="JA18" s="32">
        <f>MEDIAN(2,2,3,3,2,3,3,2,2,2,2,2,3,3,2,3)</f>
        <v>2</v>
      </c>
      <c r="JB18" s="32">
        <v>3</v>
      </c>
      <c r="JC18" s="32">
        <v>1</v>
      </c>
      <c r="JD18" s="32">
        <v>1</v>
      </c>
      <c r="JE18" s="33">
        <f t="shared" si="31"/>
        <v>7</v>
      </c>
      <c r="JG18" s="42">
        <v>15</v>
      </c>
      <c r="JH18" s="43"/>
      <c r="JI18" s="43"/>
      <c r="JJ18" s="43"/>
      <c r="JK18" s="43"/>
      <c r="JL18" s="43"/>
      <c r="JM18" s="44"/>
      <c r="JO18" s="37">
        <v>15</v>
      </c>
      <c r="JP18" s="32">
        <v>2</v>
      </c>
      <c r="JQ18" s="32">
        <f>MEDIAN(3,3,3)</f>
        <v>3</v>
      </c>
      <c r="JR18" s="32">
        <v>3</v>
      </c>
      <c r="JS18" s="32">
        <v>3</v>
      </c>
      <c r="JT18" s="32">
        <v>3</v>
      </c>
      <c r="JU18" s="33">
        <f t="shared" si="33"/>
        <v>14</v>
      </c>
      <c r="JW18" s="37">
        <v>15</v>
      </c>
      <c r="JX18" s="32">
        <v>0</v>
      </c>
      <c r="JY18" s="32">
        <f>MEDIAN(3,3,3,2,2,3,3,3,3,3,3,3,3)</f>
        <v>3</v>
      </c>
      <c r="JZ18" s="32">
        <v>2</v>
      </c>
      <c r="KA18" s="32">
        <v>0</v>
      </c>
      <c r="KB18" s="32">
        <v>0</v>
      </c>
      <c r="KC18" s="33">
        <f t="shared" si="34"/>
        <v>5</v>
      </c>
      <c r="KE18" s="37">
        <v>15</v>
      </c>
      <c r="KF18" s="32">
        <v>0</v>
      </c>
      <c r="KG18" s="32">
        <f>MEDIAN(3,3,3,3,3,2,3,2,3,3,2,2,3,3,3,3,3,3,2)</f>
        <v>3</v>
      </c>
      <c r="KH18" s="32">
        <v>2</v>
      </c>
      <c r="KI18" s="32">
        <v>1</v>
      </c>
      <c r="KJ18" s="32">
        <v>1</v>
      </c>
      <c r="KK18" s="33">
        <f t="shared" si="35"/>
        <v>7</v>
      </c>
      <c r="KM18" s="37">
        <v>15</v>
      </c>
      <c r="KN18" s="32">
        <v>0</v>
      </c>
      <c r="KO18" s="32">
        <f>MEDIAN(3,2,3,3,3,3)</f>
        <v>3</v>
      </c>
      <c r="KP18" s="32">
        <v>2</v>
      </c>
      <c r="KQ18" s="32">
        <v>1</v>
      </c>
      <c r="KR18" s="32">
        <v>1</v>
      </c>
      <c r="KS18" s="33">
        <f t="shared" si="36"/>
        <v>7</v>
      </c>
      <c r="KU18" s="37">
        <v>15</v>
      </c>
      <c r="KV18" s="32">
        <v>1</v>
      </c>
      <c r="KW18" s="32">
        <f>MEDIAN(3,2,3,2,2,3,2,3,3,3,3,3,2,3,2,2,3,2)</f>
        <v>3</v>
      </c>
      <c r="KX18" s="32">
        <v>2</v>
      </c>
      <c r="KY18" s="32">
        <v>1</v>
      </c>
      <c r="KZ18" s="32">
        <v>1</v>
      </c>
      <c r="LA18" s="33">
        <f t="shared" si="37"/>
        <v>8</v>
      </c>
      <c r="LC18" s="34">
        <v>15</v>
      </c>
      <c r="LD18" s="32">
        <v>3</v>
      </c>
      <c r="LE18" s="32">
        <f>MEDIAN(3,3,3,3,2,3,2,3,3,3,2)</f>
        <v>3</v>
      </c>
      <c r="LF18" s="32">
        <v>2</v>
      </c>
      <c r="LG18" s="36" t="s">
        <v>31</v>
      </c>
      <c r="LH18" s="32">
        <v>2</v>
      </c>
      <c r="LI18" s="33">
        <f t="shared" si="38"/>
        <v>10</v>
      </c>
      <c r="LJ18">
        <f t="shared" si="41"/>
        <v>12.5</v>
      </c>
      <c r="LK18" s="42">
        <v>15</v>
      </c>
      <c r="LL18" s="43"/>
      <c r="LM18" s="43"/>
      <c r="LN18" s="43"/>
      <c r="LO18" s="43"/>
      <c r="LP18" s="43"/>
      <c r="LQ18" s="44"/>
    </row>
    <row r="19" spans="1:329" x14ac:dyDescent="0.35">
      <c r="A19" s="50">
        <v>16</v>
      </c>
      <c r="B19" s="51"/>
      <c r="C19" s="43"/>
      <c r="D19" s="43"/>
      <c r="E19" s="43"/>
      <c r="F19" s="43"/>
      <c r="G19" s="44"/>
      <c r="H19" s="14"/>
      <c r="J19" s="29">
        <v>16</v>
      </c>
      <c r="K19" s="25">
        <v>2</v>
      </c>
      <c r="L19" s="26">
        <f>MEDIAN(2,2,3,2,3,2,2,2,2,3,2,2,3)</f>
        <v>2</v>
      </c>
      <c r="M19" s="26">
        <v>2</v>
      </c>
      <c r="N19" s="26">
        <v>3</v>
      </c>
      <c r="O19" s="26">
        <v>2</v>
      </c>
      <c r="P19" s="27">
        <f t="shared" si="1"/>
        <v>11</v>
      </c>
      <c r="R19" s="28">
        <v>16</v>
      </c>
      <c r="S19" s="25">
        <v>1</v>
      </c>
      <c r="T19" s="26">
        <f>MEDIAN(2,2,2,3,3,2,2,3,2,2,3,3,2,2,2,2,2,2,2,2)</f>
        <v>2</v>
      </c>
      <c r="U19" s="26">
        <v>2</v>
      </c>
      <c r="V19" s="26">
        <v>0</v>
      </c>
      <c r="W19" s="26">
        <v>1</v>
      </c>
      <c r="X19" s="27">
        <f t="shared" si="2"/>
        <v>6</v>
      </c>
      <c r="Z19" s="29">
        <v>16</v>
      </c>
      <c r="AA19" s="25">
        <v>2</v>
      </c>
      <c r="AB19" s="26">
        <f>MEDIAN(2,3,3,2,2,2,3)</f>
        <v>2</v>
      </c>
      <c r="AC19" s="26">
        <v>2</v>
      </c>
      <c r="AD19" s="26">
        <v>3</v>
      </c>
      <c r="AE19" s="26">
        <v>1</v>
      </c>
      <c r="AF19" s="27">
        <f t="shared" si="3"/>
        <v>10</v>
      </c>
      <c r="AH19" s="29">
        <v>16</v>
      </c>
      <c r="AI19" s="25">
        <v>2</v>
      </c>
      <c r="AJ19" s="26">
        <f>MEDIAN(3,3,3,2,2,2,3,2,2,3,2,3)</f>
        <v>2.5</v>
      </c>
      <c r="AK19" s="26">
        <v>2</v>
      </c>
      <c r="AL19" s="26">
        <v>2</v>
      </c>
      <c r="AM19" s="26">
        <v>1</v>
      </c>
      <c r="AN19" s="27">
        <f t="shared" si="4"/>
        <v>9.5</v>
      </c>
      <c r="AP19" s="30">
        <v>16</v>
      </c>
      <c r="AQ19" s="25">
        <v>0</v>
      </c>
      <c r="AR19" s="26">
        <f>MEDIAN(3,2,2,3,3,3,1,2,2,3,3,3,3,3,3,3,3,2,1,2,3)</f>
        <v>3</v>
      </c>
      <c r="AS19" s="26">
        <v>2</v>
      </c>
      <c r="AT19" s="26">
        <v>3</v>
      </c>
      <c r="AU19" s="26">
        <v>1</v>
      </c>
      <c r="AV19" s="27">
        <f t="shared" si="5"/>
        <v>9</v>
      </c>
      <c r="AX19" s="28">
        <v>16</v>
      </c>
      <c r="AY19" s="25">
        <v>1</v>
      </c>
      <c r="AZ19" s="26">
        <f>MEDIAN(2,2,2,3,2,2,3,3,2,2,2,2,2,2,3,3,2,2,3,3,3,3,3,3,3,2,2,3,3,3,3,2,2,3,3,2,3,3,2,3,3,3,2,2,2,2,2)</f>
        <v>2</v>
      </c>
      <c r="BA19" s="26">
        <v>2</v>
      </c>
      <c r="BB19" s="26" t="s">
        <v>31</v>
      </c>
      <c r="BC19" s="26">
        <v>2</v>
      </c>
      <c r="BD19" s="27">
        <f t="shared" si="6"/>
        <v>7</v>
      </c>
      <c r="BF19" s="50">
        <v>16</v>
      </c>
      <c r="BG19" s="51"/>
      <c r="BH19" s="43"/>
      <c r="BI19" s="43"/>
      <c r="BJ19" s="43"/>
      <c r="BK19" s="43"/>
      <c r="BL19" s="44"/>
      <c r="BM19" s="14"/>
      <c r="BN19" s="28">
        <v>16</v>
      </c>
      <c r="BO19" s="25">
        <v>3</v>
      </c>
      <c r="BP19" s="26">
        <f>MEDIAN(3,3,3,3,3,2,3,3,2)</f>
        <v>3</v>
      </c>
      <c r="BQ19" s="26">
        <v>1</v>
      </c>
      <c r="BR19" s="26" t="s">
        <v>31</v>
      </c>
      <c r="BS19" s="26">
        <v>1</v>
      </c>
      <c r="BT19" s="27">
        <f t="shared" si="8"/>
        <v>8</v>
      </c>
      <c r="BU19" s="14"/>
      <c r="BV19" s="40">
        <v>16</v>
      </c>
      <c r="BW19" s="25">
        <v>1</v>
      </c>
      <c r="BX19" s="26">
        <f>MEDIAN(3,2,2,3,2,2,2,3,2,2,2,3)</f>
        <v>2</v>
      </c>
      <c r="BY19" s="26">
        <v>3</v>
      </c>
      <c r="BZ19" s="26">
        <v>1</v>
      </c>
      <c r="CA19" s="26">
        <v>0</v>
      </c>
      <c r="CB19" s="27">
        <f t="shared" si="9"/>
        <v>7</v>
      </c>
      <c r="CC19" s="14"/>
      <c r="CD19" s="50">
        <v>16</v>
      </c>
      <c r="CE19" s="51"/>
      <c r="CF19" s="43"/>
      <c r="CG19" s="43"/>
      <c r="CH19" s="43"/>
      <c r="CI19" s="43"/>
      <c r="CJ19" s="44"/>
      <c r="CK19" s="14"/>
      <c r="CL19" s="28">
        <v>16</v>
      </c>
      <c r="CM19" s="25">
        <v>0</v>
      </c>
      <c r="CN19" s="26">
        <f>MEDIAN(3,3,3,3,2,3,3,3,3,3,2)</f>
        <v>3</v>
      </c>
      <c r="CO19" s="26">
        <v>3</v>
      </c>
      <c r="CP19" s="26">
        <v>2</v>
      </c>
      <c r="CQ19" s="26">
        <v>1</v>
      </c>
      <c r="CR19" s="27">
        <f t="shared" si="11"/>
        <v>9</v>
      </c>
      <c r="CT19" s="29">
        <v>16</v>
      </c>
      <c r="CU19" s="25">
        <v>0</v>
      </c>
      <c r="CV19" s="26">
        <f>MEDIAN(3,3,3,2,3,3,2,2,3,3,3,2,3,3,3,3,3,3,2)</f>
        <v>3</v>
      </c>
      <c r="CW19" s="26">
        <v>3</v>
      </c>
      <c r="CX19" s="26">
        <v>1</v>
      </c>
      <c r="CY19" s="26">
        <v>1</v>
      </c>
      <c r="CZ19" s="27">
        <f t="shared" si="12"/>
        <v>8</v>
      </c>
      <c r="DB19" s="30">
        <v>16</v>
      </c>
      <c r="DC19" s="25">
        <v>0</v>
      </c>
      <c r="DD19" s="26">
        <f>MEDIAN(2)</f>
        <v>2</v>
      </c>
      <c r="DE19" s="26">
        <v>3</v>
      </c>
      <c r="DF19" s="26">
        <v>3</v>
      </c>
      <c r="DG19" s="26">
        <v>1</v>
      </c>
      <c r="DH19" s="27">
        <f t="shared" si="13"/>
        <v>9</v>
      </c>
      <c r="DJ19" s="30">
        <v>16</v>
      </c>
      <c r="DK19" s="25">
        <v>0</v>
      </c>
      <c r="DL19" s="26">
        <f>MEDIAN(3,2,3,3,3,3,2,3,33,3,2,2)</f>
        <v>3</v>
      </c>
      <c r="DM19" s="26">
        <v>3</v>
      </c>
      <c r="DN19" s="26">
        <v>3</v>
      </c>
      <c r="DO19" s="26">
        <v>1</v>
      </c>
      <c r="DP19" s="27">
        <f t="shared" si="14"/>
        <v>10</v>
      </c>
      <c r="DQ19" s="14"/>
      <c r="DR19" s="31">
        <v>16</v>
      </c>
      <c r="DS19" s="25">
        <v>1</v>
      </c>
      <c r="DT19" s="26">
        <f>MEDIAN(3,3,3,2,1,3,3,3,3,3,3,3,3,3)</f>
        <v>3</v>
      </c>
      <c r="DU19" s="26">
        <v>2</v>
      </c>
      <c r="DV19" s="45" t="s">
        <v>31</v>
      </c>
      <c r="DW19" s="26">
        <v>1</v>
      </c>
      <c r="DX19" s="27">
        <f t="shared" si="15"/>
        <v>7</v>
      </c>
      <c r="DY19" s="14"/>
      <c r="EA19" s="28">
        <v>16</v>
      </c>
      <c r="EB19" s="8">
        <v>1</v>
      </c>
      <c r="EC19" s="16">
        <f>MEDIAN(3,3,3,3,3,3,2,2,2,3,3,3,2,3,2,2,2,2,2)</f>
        <v>3</v>
      </c>
      <c r="ED19" s="16">
        <v>2</v>
      </c>
      <c r="EE19" s="17">
        <v>1</v>
      </c>
      <c r="EF19" s="16">
        <v>1</v>
      </c>
      <c r="EG19" s="33">
        <f t="shared" si="17"/>
        <v>8</v>
      </c>
      <c r="EI19" s="34">
        <v>16</v>
      </c>
      <c r="EJ19" s="32">
        <v>0</v>
      </c>
      <c r="EK19" s="32">
        <f>MEDIAN(3,3,2,3,3,3,3,3,3,2,3,2,3,3,3,3,2,3,3,3,3)</f>
        <v>3</v>
      </c>
      <c r="EL19" s="32">
        <v>3</v>
      </c>
      <c r="EM19" s="32">
        <v>1</v>
      </c>
      <c r="EN19" s="32">
        <v>1</v>
      </c>
      <c r="EO19" s="33">
        <f t="shared" si="18"/>
        <v>8</v>
      </c>
      <c r="EQ19" s="37">
        <v>16</v>
      </c>
      <c r="ER19" s="32">
        <v>0</v>
      </c>
      <c r="ES19" s="32">
        <f>MEDIAN(2,2,2,3,3,2,3,2)</f>
        <v>2</v>
      </c>
      <c r="ET19" s="32">
        <v>1</v>
      </c>
      <c r="EU19" s="36">
        <v>1</v>
      </c>
      <c r="EV19" s="32">
        <v>1</v>
      </c>
      <c r="EW19" s="33">
        <f t="shared" si="19"/>
        <v>5</v>
      </c>
      <c r="EY19" s="35">
        <v>16</v>
      </c>
      <c r="EZ19" s="32">
        <v>1</v>
      </c>
      <c r="FA19" s="32">
        <f>MEDIAN(3,3,3,3,3,2,3,3)</f>
        <v>3</v>
      </c>
      <c r="FB19" s="32">
        <v>2</v>
      </c>
      <c r="FC19" s="36">
        <v>0</v>
      </c>
      <c r="FD19" s="32">
        <v>0</v>
      </c>
      <c r="FE19" s="33">
        <f t="shared" si="20"/>
        <v>6</v>
      </c>
      <c r="FG19" s="35">
        <v>16</v>
      </c>
      <c r="FH19" s="32">
        <v>2</v>
      </c>
      <c r="FI19" s="32">
        <f>MEDIAN(2,3,3,3,3,3,3,2,3,3,3,3,3,3)</f>
        <v>3</v>
      </c>
      <c r="FJ19" s="32">
        <v>2</v>
      </c>
      <c r="FK19" s="36">
        <v>2</v>
      </c>
      <c r="FL19" s="32">
        <v>1</v>
      </c>
      <c r="FM19" s="33">
        <f t="shared" si="40"/>
        <v>10</v>
      </c>
      <c r="FO19" s="37">
        <v>16</v>
      </c>
      <c r="FP19" s="32">
        <v>1</v>
      </c>
      <c r="FQ19" s="32">
        <f>MEDIAN(3,3,3,2,2,2,3,3,3,3,3,2,2,3)</f>
        <v>3</v>
      </c>
      <c r="FR19" s="32">
        <v>2</v>
      </c>
      <c r="FS19" s="36">
        <v>3</v>
      </c>
      <c r="FT19" s="32">
        <v>2</v>
      </c>
      <c r="FU19" s="33">
        <f t="shared" si="21"/>
        <v>11</v>
      </c>
      <c r="FW19" s="39">
        <v>16</v>
      </c>
      <c r="FX19" s="32">
        <v>1</v>
      </c>
      <c r="FY19" s="32">
        <f>MEDIAN(3,2,2,2,3,3,2,2,2,3,3,2,3,3)</f>
        <v>2.5</v>
      </c>
      <c r="FZ19" s="32">
        <v>2</v>
      </c>
      <c r="GA19" s="36">
        <v>1</v>
      </c>
      <c r="GB19" s="32">
        <v>1</v>
      </c>
      <c r="GC19" s="33">
        <f t="shared" si="22"/>
        <v>7.5</v>
      </c>
      <c r="GE19" s="34">
        <v>16</v>
      </c>
      <c r="GF19" s="32">
        <v>0</v>
      </c>
      <c r="GG19" s="32">
        <f>MEDIAN(3,2,3,2,3,3,2,2,3,3,2,3,3,2,2,2,3,3,3)</f>
        <v>3</v>
      </c>
      <c r="GH19" s="32">
        <v>2</v>
      </c>
      <c r="GI19" s="36">
        <v>1</v>
      </c>
      <c r="GJ19" s="32">
        <v>2</v>
      </c>
      <c r="GK19" s="33">
        <f t="shared" si="23"/>
        <v>8</v>
      </c>
      <c r="GM19" s="56">
        <v>16</v>
      </c>
      <c r="GN19" s="32">
        <v>0</v>
      </c>
      <c r="GO19" s="32">
        <f>MEDIAN(3,1,3,3,3,2,2,3,3,3,3,3)</f>
        <v>3</v>
      </c>
      <c r="GP19" s="32">
        <v>1</v>
      </c>
      <c r="GQ19" s="32">
        <v>0</v>
      </c>
      <c r="GR19" s="32">
        <v>1</v>
      </c>
      <c r="GS19" s="33">
        <f t="shared" si="24"/>
        <v>5</v>
      </c>
      <c r="GU19" s="34">
        <v>16</v>
      </c>
      <c r="GV19" s="32">
        <v>0</v>
      </c>
      <c r="GW19" s="32">
        <f>MEDIAN(2,3,3,3,3,3,3,3,3,2,3,3,3,3,2,3,2,3,3,2,3)</f>
        <v>3</v>
      </c>
      <c r="GX19" s="32">
        <v>1</v>
      </c>
      <c r="GY19" s="36">
        <v>0</v>
      </c>
      <c r="GZ19" s="32">
        <v>0</v>
      </c>
      <c r="HA19" s="33">
        <f t="shared" si="25"/>
        <v>4</v>
      </c>
      <c r="HC19" s="34">
        <v>16</v>
      </c>
      <c r="HD19" s="32">
        <v>1</v>
      </c>
      <c r="HE19" s="32">
        <f>MEDIAN(3,3,3,3,3,3,2,3,3)</f>
        <v>3</v>
      </c>
      <c r="HF19" s="32">
        <v>1</v>
      </c>
      <c r="HG19" s="36">
        <v>3</v>
      </c>
      <c r="HH19" s="32">
        <v>1</v>
      </c>
      <c r="HI19" s="33">
        <f t="shared" si="26"/>
        <v>9</v>
      </c>
      <c r="HK19" s="42">
        <v>16</v>
      </c>
      <c r="HL19" s="43"/>
      <c r="HM19" s="43"/>
      <c r="HN19" s="43"/>
      <c r="HO19" s="43"/>
      <c r="HP19" s="43"/>
      <c r="HQ19" s="44"/>
      <c r="HS19" s="37">
        <v>16</v>
      </c>
      <c r="HT19" s="32">
        <v>1</v>
      </c>
      <c r="HU19" s="32">
        <f>MEDIAN(2,2)</f>
        <v>2</v>
      </c>
      <c r="HV19" s="32">
        <v>2</v>
      </c>
      <c r="HW19" s="32">
        <v>2</v>
      </c>
      <c r="HX19" s="32">
        <v>2</v>
      </c>
      <c r="HY19" s="33">
        <f t="shared" si="28"/>
        <v>9</v>
      </c>
      <c r="IA19" s="35">
        <v>16</v>
      </c>
      <c r="IB19" s="32">
        <v>2</v>
      </c>
      <c r="IC19" s="32">
        <f>MEDIAN(3,3,3,2,2,3,3,3,3,3,3,2,3,3,3,2,3)</f>
        <v>3</v>
      </c>
      <c r="ID19" s="32">
        <v>1</v>
      </c>
      <c r="IE19" s="32">
        <v>2</v>
      </c>
      <c r="IF19" s="32">
        <v>1</v>
      </c>
      <c r="IG19" s="33">
        <f t="shared" si="29"/>
        <v>9</v>
      </c>
      <c r="II19" s="42">
        <v>16</v>
      </c>
      <c r="IJ19" s="43"/>
      <c r="IK19" s="43"/>
      <c r="IL19" s="43"/>
      <c r="IM19" s="43"/>
      <c r="IN19" s="43"/>
      <c r="IO19" s="44"/>
      <c r="IQ19" s="34">
        <v>16</v>
      </c>
      <c r="IR19" s="32">
        <v>0</v>
      </c>
      <c r="IS19" s="32">
        <f>MEDIAN(3,3,2,3,3)</f>
        <v>3</v>
      </c>
      <c r="IT19" s="32">
        <v>2</v>
      </c>
      <c r="IU19" s="32">
        <v>0</v>
      </c>
      <c r="IV19" s="32">
        <v>0</v>
      </c>
      <c r="IW19" s="33">
        <f t="shared" si="30"/>
        <v>5</v>
      </c>
      <c r="IY19" s="37">
        <v>16</v>
      </c>
      <c r="IZ19" s="32">
        <v>0</v>
      </c>
      <c r="JA19" s="32">
        <f>MEDIAN(2,2,2,3,3,3,3,2)</f>
        <v>2.5</v>
      </c>
      <c r="JB19" s="32">
        <v>2</v>
      </c>
      <c r="JC19" s="32">
        <v>2</v>
      </c>
      <c r="JD19" s="32">
        <v>1</v>
      </c>
      <c r="JE19" s="33">
        <f t="shared" si="31"/>
        <v>7.5</v>
      </c>
      <c r="JG19" s="42">
        <v>16</v>
      </c>
      <c r="JH19" s="43"/>
      <c r="JI19" s="43"/>
      <c r="JJ19" s="43"/>
      <c r="JK19" s="43"/>
      <c r="JL19" s="43"/>
      <c r="JM19" s="44"/>
      <c r="JO19" s="35">
        <v>16</v>
      </c>
      <c r="JP19" s="32">
        <v>2</v>
      </c>
      <c r="JQ19" s="32">
        <f>MEDIAN(3,3,3,3,2,3,3,3,3,3,3,3,3,3)</f>
        <v>3</v>
      </c>
      <c r="JR19" s="32">
        <v>2</v>
      </c>
      <c r="JS19" s="32">
        <v>3</v>
      </c>
      <c r="JT19" s="32">
        <v>1</v>
      </c>
      <c r="JU19" s="33">
        <f t="shared" si="33"/>
        <v>11</v>
      </c>
      <c r="JW19" s="37">
        <v>16</v>
      </c>
      <c r="JX19" s="32">
        <v>1</v>
      </c>
      <c r="JY19" s="32">
        <f>MEDIAN(3,3,3,3,3,3,3,3,3)</f>
        <v>3</v>
      </c>
      <c r="JZ19" s="32">
        <v>3</v>
      </c>
      <c r="KA19" s="32">
        <v>2</v>
      </c>
      <c r="KB19" s="32">
        <v>2</v>
      </c>
      <c r="KC19" s="33">
        <f t="shared" si="34"/>
        <v>11</v>
      </c>
      <c r="KE19" s="37">
        <v>16</v>
      </c>
      <c r="KF19" s="32">
        <v>0</v>
      </c>
      <c r="KG19" s="32">
        <f>MEDIAN(3,2,2,2,3,3,3,3,3,2,2,2,2,3,3)</f>
        <v>3</v>
      </c>
      <c r="KH19" s="32">
        <v>2</v>
      </c>
      <c r="KI19" s="32">
        <v>1</v>
      </c>
      <c r="KJ19" s="32">
        <v>1</v>
      </c>
      <c r="KK19" s="33">
        <f t="shared" si="35"/>
        <v>7</v>
      </c>
      <c r="KM19" s="37">
        <v>16</v>
      </c>
      <c r="KN19" s="32">
        <v>1</v>
      </c>
      <c r="KO19" s="32">
        <f>MEDIAN(2,3,3,2,2,2,2,3,3,2,3,3,3,3,3,2)</f>
        <v>3</v>
      </c>
      <c r="KP19" s="32">
        <v>2</v>
      </c>
      <c r="KQ19" s="32">
        <v>1</v>
      </c>
      <c r="KR19" s="32">
        <v>1</v>
      </c>
      <c r="KS19" s="33">
        <f t="shared" si="36"/>
        <v>8</v>
      </c>
      <c r="KU19" s="35">
        <v>16</v>
      </c>
      <c r="KV19" s="32">
        <v>0</v>
      </c>
      <c r="KW19" s="32">
        <f>MEDIAN(3,3)</f>
        <v>3</v>
      </c>
      <c r="KX19" s="32">
        <v>3</v>
      </c>
      <c r="KY19" s="32">
        <v>0</v>
      </c>
      <c r="KZ19" s="32">
        <v>1</v>
      </c>
      <c r="LA19" s="33">
        <f t="shared" si="37"/>
        <v>7</v>
      </c>
      <c r="LC19" s="34">
        <v>16</v>
      </c>
      <c r="LD19" s="32">
        <v>2</v>
      </c>
      <c r="LE19" s="32">
        <f>MEDIAN(2,3,2,3,3,3,3,2,1,2,3,3)</f>
        <v>3</v>
      </c>
      <c r="LF19" s="32">
        <v>2</v>
      </c>
      <c r="LG19" s="36">
        <v>1</v>
      </c>
      <c r="LH19" s="32">
        <v>2</v>
      </c>
      <c r="LI19" s="33">
        <f t="shared" si="38"/>
        <v>10</v>
      </c>
      <c r="LK19" s="42">
        <v>16</v>
      </c>
      <c r="LL19" s="43"/>
      <c r="LM19" s="43"/>
      <c r="LN19" s="43"/>
      <c r="LO19" s="43"/>
      <c r="LP19" s="43"/>
      <c r="LQ19" s="44"/>
    </row>
    <row r="20" spans="1:329" ht="15" thickBot="1" x14ac:dyDescent="0.4">
      <c r="A20" s="50">
        <v>17</v>
      </c>
      <c r="B20" s="51"/>
      <c r="C20" s="43"/>
      <c r="D20" s="43"/>
      <c r="E20" s="43"/>
      <c r="F20" s="43"/>
      <c r="G20" s="44"/>
      <c r="H20" s="14"/>
      <c r="J20" s="29">
        <v>17</v>
      </c>
      <c r="K20" s="25">
        <v>2</v>
      </c>
      <c r="L20" s="26">
        <f>MEDIAN(2,3,3,3,2,3,2,3,3,2,2,2,3,3,2)</f>
        <v>3</v>
      </c>
      <c r="M20" s="26">
        <v>2</v>
      </c>
      <c r="N20" s="26">
        <v>3</v>
      </c>
      <c r="O20" s="26">
        <v>2</v>
      </c>
      <c r="P20" s="27">
        <f t="shared" si="1"/>
        <v>12</v>
      </c>
      <c r="R20" s="28">
        <v>17</v>
      </c>
      <c r="S20" s="25">
        <v>0</v>
      </c>
      <c r="T20" s="26">
        <f>MEDIAN(2,2,3,2,2,2,2,3,2,3,2,3,2,3,3,2,3,2,3,2)</f>
        <v>2</v>
      </c>
      <c r="U20" s="26">
        <v>2</v>
      </c>
      <c r="V20" s="26">
        <v>0</v>
      </c>
      <c r="W20" s="26">
        <v>2</v>
      </c>
      <c r="X20" s="27">
        <f t="shared" si="2"/>
        <v>6</v>
      </c>
      <c r="Z20" s="50">
        <v>17</v>
      </c>
      <c r="AA20" s="51"/>
      <c r="AB20" s="43"/>
      <c r="AC20" s="43"/>
      <c r="AD20" s="43"/>
      <c r="AE20" s="43"/>
      <c r="AF20" s="44"/>
      <c r="AH20" s="29">
        <v>17</v>
      </c>
      <c r="AI20" s="25">
        <v>2</v>
      </c>
      <c r="AJ20" s="26">
        <f>MEDIAN(3,3,3,2,3)</f>
        <v>3</v>
      </c>
      <c r="AK20" s="26">
        <v>2</v>
      </c>
      <c r="AL20" s="26">
        <v>3</v>
      </c>
      <c r="AM20" s="26">
        <v>1</v>
      </c>
      <c r="AN20" s="27">
        <f t="shared" si="4"/>
        <v>11</v>
      </c>
      <c r="AP20" s="30">
        <v>17</v>
      </c>
      <c r="AQ20" s="25">
        <v>1</v>
      </c>
      <c r="AR20" s="26">
        <f>MEDIAN(3,3,3,2,3,2,2,3,3,3,3,3,3,2,2,3,2,2,3)</f>
        <v>3</v>
      </c>
      <c r="AS20" s="26">
        <v>2</v>
      </c>
      <c r="AT20" s="26">
        <v>3</v>
      </c>
      <c r="AU20" s="26">
        <v>1</v>
      </c>
      <c r="AV20" s="27">
        <f t="shared" si="5"/>
        <v>10</v>
      </c>
      <c r="AX20" s="29">
        <v>17</v>
      </c>
      <c r="AY20" s="25">
        <v>1</v>
      </c>
      <c r="AZ20" s="26">
        <f>MEDIAN(3,2,3,2,3,3,3,3,3,3,3,3,3,3,3)</f>
        <v>3</v>
      </c>
      <c r="BA20" s="26">
        <v>2</v>
      </c>
      <c r="BB20" s="26">
        <v>3</v>
      </c>
      <c r="BC20" s="26">
        <v>2</v>
      </c>
      <c r="BD20" s="27">
        <f t="shared" si="6"/>
        <v>11</v>
      </c>
      <c r="BF20" s="50">
        <v>17</v>
      </c>
      <c r="BG20" s="51"/>
      <c r="BH20" s="43"/>
      <c r="BI20" s="43"/>
      <c r="BJ20" s="43"/>
      <c r="BK20" s="43"/>
      <c r="BL20" s="44"/>
      <c r="BM20" s="14"/>
      <c r="BN20" s="50">
        <v>17</v>
      </c>
      <c r="BO20" s="51"/>
      <c r="BP20" s="43"/>
      <c r="BQ20" s="43"/>
      <c r="BR20" s="43"/>
      <c r="BS20" s="43"/>
      <c r="BT20" s="44"/>
      <c r="BU20" s="14"/>
      <c r="BV20" s="28">
        <v>17</v>
      </c>
      <c r="BW20" s="25">
        <v>0</v>
      </c>
      <c r="BX20" s="26">
        <f>MEDIAN(3,1,1,2,2,1,2,2,3,2,1,1,2,2,3,2,1,1,1,2)</f>
        <v>2</v>
      </c>
      <c r="BY20" s="26">
        <v>1</v>
      </c>
      <c r="BZ20" s="26">
        <v>2</v>
      </c>
      <c r="CA20" s="26">
        <v>2</v>
      </c>
      <c r="CB20" s="27">
        <f t="shared" si="9"/>
        <v>7</v>
      </c>
      <c r="CC20" s="14"/>
      <c r="CD20" s="50">
        <v>17</v>
      </c>
      <c r="CE20" s="51"/>
      <c r="CF20" s="43"/>
      <c r="CG20" s="43"/>
      <c r="CH20" s="43"/>
      <c r="CI20" s="43"/>
      <c r="CJ20" s="44"/>
      <c r="CK20" s="14"/>
      <c r="CL20" s="30">
        <v>17</v>
      </c>
      <c r="CM20" s="25">
        <v>0</v>
      </c>
      <c r="CN20" s="26">
        <f>MEDIAN(3,3,3,3,3,2,1,3,3,3,2,3,2,3,3,3,3)</f>
        <v>3</v>
      </c>
      <c r="CO20" s="26">
        <v>3</v>
      </c>
      <c r="CP20" s="26">
        <v>3</v>
      </c>
      <c r="CQ20" s="26">
        <v>1</v>
      </c>
      <c r="CR20" s="27">
        <f t="shared" si="11"/>
        <v>10</v>
      </c>
      <c r="CT20" s="24">
        <v>17</v>
      </c>
      <c r="CU20" s="25">
        <v>0</v>
      </c>
      <c r="CV20" s="26">
        <f>MEDIAN(3,3,3,3,2)</f>
        <v>3</v>
      </c>
      <c r="CW20" s="26">
        <v>3</v>
      </c>
      <c r="CX20" s="26">
        <v>1</v>
      </c>
      <c r="CY20" s="26">
        <v>1</v>
      </c>
      <c r="CZ20" s="27">
        <f t="shared" si="12"/>
        <v>8</v>
      </c>
      <c r="DB20" s="30">
        <v>17</v>
      </c>
      <c r="DC20" s="25">
        <v>0</v>
      </c>
      <c r="DD20" s="26">
        <f>MEDIAN(3,3,3,3,3,3,3,3,2,3,2,2)</f>
        <v>3</v>
      </c>
      <c r="DE20" s="26">
        <v>2</v>
      </c>
      <c r="DF20" s="26">
        <v>2</v>
      </c>
      <c r="DG20" s="26">
        <v>1</v>
      </c>
      <c r="DH20" s="27">
        <f t="shared" si="13"/>
        <v>8</v>
      </c>
      <c r="DJ20" s="30">
        <v>17</v>
      </c>
      <c r="DK20" s="25">
        <v>1</v>
      </c>
      <c r="DL20" s="26">
        <f>MEDIAN(3,3,3,3,2,3,3,3,2)</f>
        <v>3</v>
      </c>
      <c r="DM20" s="26">
        <v>3</v>
      </c>
      <c r="DN20" s="26">
        <v>3</v>
      </c>
      <c r="DO20" s="26">
        <v>1</v>
      </c>
      <c r="DP20" s="27">
        <f t="shared" si="14"/>
        <v>11</v>
      </c>
      <c r="DQ20" s="14"/>
      <c r="DR20" s="31">
        <v>17</v>
      </c>
      <c r="DS20" s="25">
        <v>1</v>
      </c>
      <c r="DT20" s="26">
        <f>MEDIAN(3,3,1,3,2,2,3)</f>
        <v>3</v>
      </c>
      <c r="DU20" s="26">
        <v>2</v>
      </c>
      <c r="DV20" s="26">
        <v>0</v>
      </c>
      <c r="DW20" s="26">
        <v>1</v>
      </c>
      <c r="DX20" s="27">
        <f t="shared" si="15"/>
        <v>7</v>
      </c>
      <c r="DY20" s="14"/>
      <c r="EA20" s="28">
        <v>17</v>
      </c>
      <c r="EB20" s="52">
        <v>0</v>
      </c>
      <c r="EC20" s="53">
        <f>MEDIAN(2,3,2,2,2,3,3,2,2,3,3,3,3,3,3,3,3,2,3,3,3,3,3,3,3,3,3,3,3,3)</f>
        <v>3</v>
      </c>
      <c r="ED20" s="53">
        <v>3</v>
      </c>
      <c r="EE20" s="53">
        <v>2</v>
      </c>
      <c r="EF20" s="53">
        <v>1</v>
      </c>
      <c r="EG20" s="33">
        <f t="shared" si="17"/>
        <v>9</v>
      </c>
      <c r="EI20" s="34">
        <v>17</v>
      </c>
      <c r="EJ20" s="32">
        <v>0</v>
      </c>
      <c r="EK20" s="32">
        <f>MEDIAN(2,3,3,3,2,3,2,2,2,3,2,3,3,2)</f>
        <v>2.5</v>
      </c>
      <c r="EL20" s="32">
        <v>3</v>
      </c>
      <c r="EM20" s="32">
        <v>1</v>
      </c>
      <c r="EN20" s="32">
        <v>0</v>
      </c>
      <c r="EO20" s="33">
        <f t="shared" si="18"/>
        <v>6.5</v>
      </c>
      <c r="EQ20" s="37">
        <v>17</v>
      </c>
      <c r="ER20" s="32">
        <v>0</v>
      </c>
      <c r="ES20" s="32">
        <f>MEDIAN(1,1,3,2,2,2,3,3)</f>
        <v>2</v>
      </c>
      <c r="ET20" s="32">
        <v>1</v>
      </c>
      <c r="EU20" s="36">
        <v>1</v>
      </c>
      <c r="EV20" s="32">
        <v>1</v>
      </c>
      <c r="EW20" s="33">
        <f t="shared" si="19"/>
        <v>5</v>
      </c>
      <c r="EY20" s="34">
        <v>17</v>
      </c>
      <c r="EZ20" s="32">
        <v>1</v>
      </c>
      <c r="FA20" s="32">
        <f>MEDIAN(3,3,3,3,3,2,3,3,3,3,3,)</f>
        <v>3</v>
      </c>
      <c r="FB20" s="32">
        <v>2</v>
      </c>
      <c r="FC20" s="36">
        <v>2</v>
      </c>
      <c r="FD20" s="32">
        <v>1</v>
      </c>
      <c r="FE20" s="33">
        <f t="shared" si="20"/>
        <v>9</v>
      </c>
      <c r="FG20" s="35">
        <v>17</v>
      </c>
      <c r="FH20" s="32">
        <v>2</v>
      </c>
      <c r="FI20" s="36">
        <f>MEDIAN(3,3,2,2,3,3,2,3,3,3,3,3,3,2)</f>
        <v>3</v>
      </c>
      <c r="FJ20" s="32">
        <v>2</v>
      </c>
      <c r="FK20" s="36" t="s">
        <v>31</v>
      </c>
      <c r="FL20" s="32">
        <v>1</v>
      </c>
      <c r="FM20" s="33">
        <f t="shared" si="40"/>
        <v>8</v>
      </c>
      <c r="FN20">
        <f>FM20*(5/4)</f>
        <v>10</v>
      </c>
      <c r="FO20" s="37">
        <v>17</v>
      </c>
      <c r="FP20" s="32">
        <v>1</v>
      </c>
      <c r="FQ20" s="32">
        <f>MEDIAN(3,3,3,3,3,3,3,2,2,3,3,3,3,3,3,3,3,2,2,3,3,3,3,3,2,2,3)</f>
        <v>3</v>
      </c>
      <c r="FR20" s="32">
        <v>2</v>
      </c>
      <c r="FS20" s="36">
        <v>3</v>
      </c>
      <c r="FT20" s="32">
        <v>2</v>
      </c>
      <c r="FU20" s="33">
        <f t="shared" si="21"/>
        <v>11</v>
      </c>
      <c r="FW20" s="37">
        <v>17</v>
      </c>
      <c r="FX20" s="32">
        <v>0</v>
      </c>
      <c r="FY20" s="32">
        <f>MEDIAN(2,2,3,2,3,3,2,2,3,2)</f>
        <v>2</v>
      </c>
      <c r="FZ20" s="32">
        <v>2</v>
      </c>
      <c r="GA20" s="36">
        <v>3</v>
      </c>
      <c r="GB20" s="32">
        <v>3</v>
      </c>
      <c r="GC20" s="33">
        <f t="shared" si="22"/>
        <v>10</v>
      </c>
      <c r="GE20" s="34">
        <v>17</v>
      </c>
      <c r="GF20" s="32">
        <v>0</v>
      </c>
      <c r="GG20" s="32">
        <f>MEDIAN(3,3,3,3,3,2,3,3,2,2,3,3,3,3)</f>
        <v>3</v>
      </c>
      <c r="GH20" s="32">
        <v>2</v>
      </c>
      <c r="GI20" s="36">
        <v>1</v>
      </c>
      <c r="GJ20" s="32">
        <v>1</v>
      </c>
      <c r="GK20" s="33">
        <f t="shared" si="23"/>
        <v>7</v>
      </c>
      <c r="GM20" s="37">
        <v>17</v>
      </c>
      <c r="GN20" s="32">
        <v>0</v>
      </c>
      <c r="GO20" s="32">
        <f>MEDIAN(3,3,3,3,2,2,2,2,2,3,3,3,3,2,3)</f>
        <v>3</v>
      </c>
      <c r="GP20" s="32">
        <v>2</v>
      </c>
      <c r="GQ20" s="32">
        <v>0</v>
      </c>
      <c r="GR20" s="32">
        <v>1</v>
      </c>
      <c r="GS20" s="33">
        <f t="shared" si="24"/>
        <v>6</v>
      </c>
      <c r="GU20" s="34">
        <v>17</v>
      </c>
      <c r="GV20" s="32">
        <v>0</v>
      </c>
      <c r="GW20" s="32">
        <f>MEDIAN(2,2,2,2,2,3)</f>
        <v>2</v>
      </c>
      <c r="GX20" s="32">
        <v>1</v>
      </c>
      <c r="GY20" s="36">
        <v>0</v>
      </c>
      <c r="GZ20" s="32">
        <v>0</v>
      </c>
      <c r="HA20" s="33">
        <f t="shared" si="25"/>
        <v>3</v>
      </c>
      <c r="HC20" s="34">
        <v>17</v>
      </c>
      <c r="HD20" s="32">
        <v>2</v>
      </c>
      <c r="HE20" s="32">
        <f>MEDIAN(3,3,3,3,3,3,3,3,3,3,3,3)</f>
        <v>3</v>
      </c>
      <c r="HF20" s="32">
        <v>3</v>
      </c>
      <c r="HG20" s="36" t="s">
        <v>31</v>
      </c>
      <c r="HH20" s="32">
        <v>1</v>
      </c>
      <c r="HI20" s="33">
        <f t="shared" si="26"/>
        <v>9</v>
      </c>
      <c r="HJ20">
        <f>HI20*(5/4)</f>
        <v>11.25</v>
      </c>
      <c r="HK20" s="42">
        <v>17</v>
      </c>
      <c r="HL20" s="43"/>
      <c r="HM20" s="43"/>
      <c r="HN20" s="43"/>
      <c r="HO20" s="43"/>
      <c r="HP20" s="43"/>
      <c r="HQ20" s="44"/>
      <c r="HS20" s="34">
        <v>17</v>
      </c>
      <c r="HT20" s="32">
        <v>1</v>
      </c>
      <c r="HU20" s="32">
        <f>MEDIAN(2,2,2)</f>
        <v>2</v>
      </c>
      <c r="HV20" s="32">
        <v>2</v>
      </c>
      <c r="HW20" s="32">
        <v>1</v>
      </c>
      <c r="HX20" s="32">
        <v>0</v>
      </c>
      <c r="HY20" s="33">
        <f t="shared" si="28"/>
        <v>6</v>
      </c>
      <c r="IA20" s="39">
        <v>17</v>
      </c>
      <c r="IB20" s="32">
        <v>2</v>
      </c>
      <c r="IC20" s="32">
        <f>MEDIAN(3,3,3,3)</f>
        <v>3</v>
      </c>
      <c r="ID20" s="32">
        <v>0</v>
      </c>
      <c r="IE20" s="32">
        <v>2</v>
      </c>
      <c r="IF20" s="32">
        <v>1</v>
      </c>
      <c r="IG20" s="33">
        <f t="shared" si="29"/>
        <v>8</v>
      </c>
      <c r="II20" s="42">
        <v>17</v>
      </c>
      <c r="IJ20" s="43"/>
      <c r="IK20" s="43"/>
      <c r="IL20" s="43"/>
      <c r="IM20" s="43"/>
      <c r="IN20" s="43"/>
      <c r="IO20" s="44"/>
      <c r="IQ20" s="34">
        <v>17</v>
      </c>
      <c r="IR20" s="32">
        <v>0</v>
      </c>
      <c r="IS20" s="32">
        <f>MEDIAN(2,2,3,3,3,2,2,3,3,3,2)</f>
        <v>3</v>
      </c>
      <c r="IT20" s="32">
        <v>2</v>
      </c>
      <c r="IU20" s="32">
        <v>0</v>
      </c>
      <c r="IV20" s="32">
        <v>0</v>
      </c>
      <c r="IW20" s="33">
        <f t="shared" si="30"/>
        <v>5</v>
      </c>
      <c r="IY20" s="37">
        <v>17</v>
      </c>
      <c r="IZ20" s="32">
        <v>1</v>
      </c>
      <c r="JA20" s="32">
        <f>MEDIAN(3,3,2,3,2,3,3,3,2,3,3,3,3,3)</f>
        <v>3</v>
      </c>
      <c r="JB20" s="32">
        <v>2</v>
      </c>
      <c r="JC20" s="32">
        <v>1</v>
      </c>
      <c r="JD20" s="32">
        <v>1</v>
      </c>
      <c r="JE20" s="33">
        <f t="shared" si="31"/>
        <v>8</v>
      </c>
      <c r="JG20" s="42">
        <v>17</v>
      </c>
      <c r="JH20" s="43"/>
      <c r="JI20" s="43"/>
      <c r="JJ20" s="43"/>
      <c r="JK20" s="43"/>
      <c r="JL20" s="43"/>
      <c r="JM20" s="44"/>
      <c r="JO20" s="35">
        <v>17</v>
      </c>
      <c r="JP20" s="32">
        <v>2</v>
      </c>
      <c r="JQ20" s="32">
        <f>MEDIAN(2,3,3,2,3,2,3,3,3,2,3,3,3,3,2,2,2,3,3,3,3,2)</f>
        <v>3</v>
      </c>
      <c r="JR20" s="32">
        <v>2</v>
      </c>
      <c r="JS20" s="32">
        <v>2</v>
      </c>
      <c r="JT20" s="32">
        <v>1</v>
      </c>
      <c r="JU20" s="33">
        <f t="shared" si="33"/>
        <v>10</v>
      </c>
      <c r="JW20" s="34">
        <v>17</v>
      </c>
      <c r="JX20" s="32">
        <v>0</v>
      </c>
      <c r="JY20" s="32">
        <f>MEDIAN(3,2,2,2,2,3,3,2,3,3,2)</f>
        <v>2</v>
      </c>
      <c r="JZ20" s="32">
        <v>2</v>
      </c>
      <c r="KA20" s="32">
        <v>0</v>
      </c>
      <c r="KB20" s="32">
        <v>0</v>
      </c>
      <c r="KC20" s="33">
        <f t="shared" si="34"/>
        <v>4</v>
      </c>
      <c r="KE20" s="34">
        <v>17</v>
      </c>
      <c r="KF20" s="32">
        <v>0</v>
      </c>
      <c r="KG20" s="32">
        <f>MEDIAN(3,3,3,3,3,3,3,3,2,3,3,3,3,3,2,3,2,3,3,3,3,3,3,3,3,2,3,2,3,2)</f>
        <v>3</v>
      </c>
      <c r="KH20" s="32">
        <v>3</v>
      </c>
      <c r="KI20" s="32">
        <v>1</v>
      </c>
      <c r="KJ20" s="32">
        <v>1</v>
      </c>
      <c r="KK20" s="33">
        <f t="shared" si="35"/>
        <v>8</v>
      </c>
      <c r="KM20" s="37">
        <v>17</v>
      </c>
      <c r="KN20" s="32">
        <v>1</v>
      </c>
      <c r="KO20" s="32">
        <f>MEDIAN(3,3,3,2,3,3,2,2,2,2,2,3,2,2,2,3,3,2,2,2,2,2,2,3)</f>
        <v>2</v>
      </c>
      <c r="KP20" s="32">
        <v>2</v>
      </c>
      <c r="KQ20" s="32">
        <v>1</v>
      </c>
      <c r="KR20" s="32">
        <v>1</v>
      </c>
      <c r="KS20" s="33">
        <f t="shared" si="36"/>
        <v>7</v>
      </c>
      <c r="KU20" s="37">
        <v>17</v>
      </c>
      <c r="KV20" s="32">
        <v>0</v>
      </c>
      <c r="KW20" s="32">
        <f>MEDIAN(3,2,2,3,2,2,2,2,3,1,3,3,2,3,2,3,2,2,3)</f>
        <v>2</v>
      </c>
      <c r="KX20" s="32">
        <v>2</v>
      </c>
      <c r="KY20" s="32">
        <v>2</v>
      </c>
      <c r="KZ20" s="32">
        <v>1</v>
      </c>
      <c r="LA20" s="33">
        <f t="shared" si="37"/>
        <v>7</v>
      </c>
      <c r="LC20" s="34">
        <v>17</v>
      </c>
      <c r="LD20" s="32">
        <v>3</v>
      </c>
      <c r="LE20" s="32">
        <f>MEDIAN(3,3,3,3,3,3,3,2,3,2,3,3,3,2,3,3,3,3,2,3,3,3,3,3,3,2,3,3,3)</f>
        <v>3</v>
      </c>
      <c r="LF20" s="32">
        <v>2</v>
      </c>
      <c r="LG20" s="36" t="s">
        <v>31</v>
      </c>
      <c r="LH20" s="32">
        <v>2</v>
      </c>
      <c r="LI20" s="33">
        <f t="shared" si="38"/>
        <v>10</v>
      </c>
      <c r="LJ20">
        <f t="shared" si="41"/>
        <v>12.5</v>
      </c>
      <c r="LK20" s="42">
        <v>17</v>
      </c>
      <c r="LL20" s="43"/>
      <c r="LM20" s="43"/>
      <c r="LN20" s="43"/>
      <c r="LO20" s="43"/>
      <c r="LP20" s="43"/>
      <c r="LQ20" s="44"/>
    </row>
    <row r="21" spans="1:329" x14ac:dyDescent="0.35">
      <c r="A21" s="50">
        <v>18</v>
      </c>
      <c r="B21" s="51"/>
      <c r="C21" s="43"/>
      <c r="D21" s="43"/>
      <c r="E21" s="43"/>
      <c r="F21" s="43"/>
      <c r="G21" s="44"/>
      <c r="H21" s="14"/>
      <c r="J21" s="29">
        <v>18</v>
      </c>
      <c r="K21" s="25">
        <v>2</v>
      </c>
      <c r="L21" s="26">
        <f>MEDIAN(3,3,3,2,2)</f>
        <v>3</v>
      </c>
      <c r="M21" s="26">
        <v>2</v>
      </c>
      <c r="N21" s="26">
        <v>3</v>
      </c>
      <c r="O21" s="26">
        <v>2</v>
      </c>
      <c r="P21" s="27">
        <f t="shared" si="1"/>
        <v>12</v>
      </c>
      <c r="R21" s="28">
        <v>18</v>
      </c>
      <c r="S21" s="25">
        <v>0</v>
      </c>
      <c r="T21" s="26">
        <f>MEDIAN(2,3,3,3,3,3,3,3,2,2,3,2,2,2,2,2,3,3,2,3)</f>
        <v>3</v>
      </c>
      <c r="U21" s="26">
        <v>2</v>
      </c>
      <c r="V21" s="26">
        <v>3</v>
      </c>
      <c r="W21" s="26">
        <v>2</v>
      </c>
      <c r="X21" s="27">
        <f t="shared" si="2"/>
        <v>10</v>
      </c>
      <c r="Z21" s="50">
        <v>18</v>
      </c>
      <c r="AA21" s="51"/>
      <c r="AB21" s="43"/>
      <c r="AC21" s="43"/>
      <c r="AD21" s="43"/>
      <c r="AE21" s="43"/>
      <c r="AF21" s="44"/>
      <c r="AH21" s="29">
        <v>18</v>
      </c>
      <c r="AI21" s="25">
        <v>2</v>
      </c>
      <c r="AJ21" s="26">
        <f>MEDIAN(3,3,3,2)</f>
        <v>3</v>
      </c>
      <c r="AK21" s="26">
        <v>2</v>
      </c>
      <c r="AL21" s="26">
        <v>3</v>
      </c>
      <c r="AM21" s="26">
        <v>1</v>
      </c>
      <c r="AN21" s="27">
        <f t="shared" si="4"/>
        <v>11</v>
      </c>
      <c r="AP21" s="30">
        <v>18</v>
      </c>
      <c r="AQ21" s="25">
        <v>0</v>
      </c>
      <c r="AR21" s="26">
        <f>MEDIAN(3,3,3,2,3,3,2,2,2,2,2,2,3,3,2,2,3,3,2)</f>
        <v>2</v>
      </c>
      <c r="AS21" s="26">
        <v>2</v>
      </c>
      <c r="AT21" s="26">
        <v>3</v>
      </c>
      <c r="AU21" s="26">
        <v>2</v>
      </c>
      <c r="AV21" s="27">
        <f t="shared" si="5"/>
        <v>9</v>
      </c>
      <c r="AX21" s="29">
        <v>18</v>
      </c>
      <c r="AY21" s="25">
        <v>1</v>
      </c>
      <c r="AZ21" s="26">
        <f>MEDIAN(3,2,2,2,2,3,3)</f>
        <v>2</v>
      </c>
      <c r="BA21" s="26">
        <v>2</v>
      </c>
      <c r="BB21" s="26">
        <v>3</v>
      </c>
      <c r="BC21" s="26">
        <v>1</v>
      </c>
      <c r="BD21" s="27">
        <f t="shared" si="6"/>
        <v>9</v>
      </c>
      <c r="BF21" s="50">
        <v>18</v>
      </c>
      <c r="BG21" s="51"/>
      <c r="BH21" s="43"/>
      <c r="BI21" s="43"/>
      <c r="BJ21" s="43"/>
      <c r="BK21" s="43"/>
      <c r="BL21" s="44"/>
      <c r="BM21" s="14"/>
      <c r="BN21" s="50">
        <v>18</v>
      </c>
      <c r="BO21" s="51"/>
      <c r="BP21" s="43"/>
      <c r="BQ21" s="43"/>
      <c r="BR21" s="43"/>
      <c r="BS21" s="43"/>
      <c r="BT21" s="44"/>
      <c r="BU21" s="14"/>
      <c r="BV21" s="28">
        <v>18</v>
      </c>
      <c r="BW21" s="25">
        <v>0</v>
      </c>
      <c r="BX21" s="26">
        <f>MEDIAN(0,0,0,0,1,2,1,0)</f>
        <v>0</v>
      </c>
      <c r="BY21" s="26">
        <v>2</v>
      </c>
      <c r="BZ21" s="26">
        <v>2</v>
      </c>
      <c r="CA21" s="26">
        <v>1</v>
      </c>
      <c r="CB21" s="27">
        <f t="shared" si="9"/>
        <v>5</v>
      </c>
      <c r="CC21" s="14"/>
      <c r="CD21" s="50">
        <v>18</v>
      </c>
      <c r="CE21" s="51"/>
      <c r="CF21" s="43"/>
      <c r="CG21" s="43"/>
      <c r="CH21" s="43"/>
      <c r="CI21" s="43"/>
      <c r="CJ21" s="44"/>
      <c r="CK21" s="14"/>
      <c r="CL21" s="30">
        <v>18</v>
      </c>
      <c r="CM21" s="25">
        <v>0</v>
      </c>
      <c r="CN21" s="26">
        <f>MEDIAN(3,3,3,3,2,3,2,3,1,3,2)</f>
        <v>3</v>
      </c>
      <c r="CO21" s="26">
        <v>2</v>
      </c>
      <c r="CP21" s="26">
        <v>1</v>
      </c>
      <c r="CQ21" s="26">
        <v>1</v>
      </c>
      <c r="CR21" s="27">
        <f t="shared" si="11"/>
        <v>7</v>
      </c>
      <c r="CT21" s="28">
        <v>18</v>
      </c>
      <c r="CU21" s="25">
        <v>0</v>
      </c>
      <c r="CV21" s="26">
        <f>MEDIAN(3,2,3,3,3,3,3,3,3,3,3,3,3,2,3,3,2,3,3,3,3,3,3,3,3,3)</f>
        <v>3</v>
      </c>
      <c r="CW21" s="26">
        <v>3</v>
      </c>
      <c r="CX21" s="26">
        <v>1</v>
      </c>
      <c r="CY21" s="26">
        <v>1</v>
      </c>
      <c r="CZ21" s="27">
        <f t="shared" si="12"/>
        <v>8</v>
      </c>
      <c r="DB21" s="30">
        <v>18</v>
      </c>
      <c r="DC21" s="25">
        <v>1</v>
      </c>
      <c r="DD21" s="26">
        <f>MEDIAN(3,1,2,2,3,2,2,3,2,3,3,2,3,3,2,2,2)</f>
        <v>2</v>
      </c>
      <c r="DE21" s="26">
        <v>2</v>
      </c>
      <c r="DF21" s="26">
        <v>2</v>
      </c>
      <c r="DG21" s="26">
        <v>1</v>
      </c>
      <c r="DH21" s="27">
        <f t="shared" si="13"/>
        <v>8</v>
      </c>
      <c r="DJ21" s="30">
        <v>18</v>
      </c>
      <c r="DK21" s="25">
        <v>1</v>
      </c>
      <c r="DL21" s="26">
        <f>MEDIAN(3,2,1,3,2,1,2,2,1,2,2,1,2,2,0,1,2)</f>
        <v>2</v>
      </c>
      <c r="DM21" s="26">
        <v>3</v>
      </c>
      <c r="DN21" s="26">
        <v>1</v>
      </c>
      <c r="DO21" s="26">
        <v>0</v>
      </c>
      <c r="DP21" s="27">
        <f t="shared" si="14"/>
        <v>7</v>
      </c>
      <c r="DQ21" s="14"/>
      <c r="DR21" s="30">
        <v>18</v>
      </c>
      <c r="DS21" s="25">
        <v>1</v>
      </c>
      <c r="DT21" s="26">
        <f>MEDIAN(3,3,3,3,3,3,3,3,3,2,3,3,3,3,3)</f>
        <v>3</v>
      </c>
      <c r="DU21" s="26">
        <v>1</v>
      </c>
      <c r="DV21" s="26">
        <v>2</v>
      </c>
      <c r="DW21" s="26">
        <v>1</v>
      </c>
      <c r="DX21" s="27">
        <f t="shared" si="15"/>
        <v>8</v>
      </c>
      <c r="DY21" s="14"/>
      <c r="EA21" s="42">
        <v>18</v>
      </c>
      <c r="EB21" s="58"/>
      <c r="EC21" s="58"/>
      <c r="ED21" s="58"/>
      <c r="EE21" s="58"/>
      <c r="EF21" s="58"/>
      <c r="EG21" s="44"/>
      <c r="EI21" s="34">
        <v>18</v>
      </c>
      <c r="EJ21" s="32">
        <v>0</v>
      </c>
      <c r="EK21" s="32">
        <f>MEDIAN(3,3,3,3,3,3,3,3,3,3,3,3,3,3,3,3,3,3,3)</f>
        <v>3</v>
      </c>
      <c r="EL21" s="32">
        <v>3</v>
      </c>
      <c r="EM21" s="32">
        <v>2</v>
      </c>
      <c r="EN21" s="32">
        <v>1</v>
      </c>
      <c r="EO21" s="33">
        <f t="shared" si="18"/>
        <v>9</v>
      </c>
      <c r="EQ21" s="37">
        <v>18</v>
      </c>
      <c r="ER21" s="32">
        <v>2</v>
      </c>
      <c r="ES21" s="32">
        <f>MEDIAN(3,3,3,3,3,3)</f>
        <v>3</v>
      </c>
      <c r="ET21" s="32">
        <v>2</v>
      </c>
      <c r="EU21" s="36">
        <v>2</v>
      </c>
      <c r="EV21" s="32">
        <v>1</v>
      </c>
      <c r="EW21" s="33">
        <f t="shared" si="19"/>
        <v>10</v>
      </c>
      <c r="EY21" s="37">
        <v>18</v>
      </c>
      <c r="EZ21" s="32">
        <v>1</v>
      </c>
      <c r="FA21" s="32">
        <f>MEDIAN(3,3,3,3,2,3,3,2,3,2,3,3,3,2,3)</f>
        <v>3</v>
      </c>
      <c r="FB21" s="32">
        <v>2</v>
      </c>
      <c r="FC21" s="36">
        <v>1</v>
      </c>
      <c r="FD21" s="32">
        <v>0</v>
      </c>
      <c r="FE21" s="33">
        <f t="shared" si="20"/>
        <v>7</v>
      </c>
      <c r="FG21" s="35">
        <v>18</v>
      </c>
      <c r="FH21" s="32">
        <v>2</v>
      </c>
      <c r="FI21" s="36">
        <f>MEDIAN(2,2,2,3,3,2,3,2,3,3,2,2,2,2)</f>
        <v>2</v>
      </c>
      <c r="FJ21" s="32">
        <v>2</v>
      </c>
      <c r="FK21" s="36">
        <v>3</v>
      </c>
      <c r="FL21" s="32">
        <v>2</v>
      </c>
      <c r="FM21" s="33">
        <f t="shared" si="40"/>
        <v>11</v>
      </c>
      <c r="FO21" s="37">
        <v>18</v>
      </c>
      <c r="FP21" s="32">
        <v>2</v>
      </c>
      <c r="FQ21" s="32">
        <f>MEDIAN(3,3,3,3,3,3,3,3,3,3)</f>
        <v>3</v>
      </c>
      <c r="FR21" s="32">
        <v>1</v>
      </c>
      <c r="FS21" s="36">
        <v>3</v>
      </c>
      <c r="FT21" s="32">
        <v>2</v>
      </c>
      <c r="FU21" s="33">
        <f t="shared" si="21"/>
        <v>11</v>
      </c>
      <c r="FW21" s="34">
        <v>18</v>
      </c>
      <c r="FX21" s="32">
        <v>0</v>
      </c>
      <c r="FY21" s="32">
        <f>MEDIAN(2,3,2,3,3,2,3,3,3,2,2,2,3,2,2,3,2,2,3,2,2,3,3,2)</f>
        <v>2</v>
      </c>
      <c r="FZ21" s="32">
        <v>3</v>
      </c>
      <c r="GA21" s="36">
        <v>1</v>
      </c>
      <c r="GB21" s="32">
        <v>0</v>
      </c>
      <c r="GC21" s="33">
        <f t="shared" si="22"/>
        <v>6</v>
      </c>
      <c r="GE21" s="37">
        <v>18</v>
      </c>
      <c r="GF21" s="32">
        <v>1</v>
      </c>
      <c r="GG21" s="32">
        <f>MEDIAN(2,2,3,3,3,3)</f>
        <v>3</v>
      </c>
      <c r="GH21" s="32">
        <v>2</v>
      </c>
      <c r="GI21" s="36">
        <v>1</v>
      </c>
      <c r="GJ21" s="32">
        <v>0</v>
      </c>
      <c r="GK21" s="33">
        <f t="shared" si="23"/>
        <v>7</v>
      </c>
      <c r="GM21" s="37">
        <v>18</v>
      </c>
      <c r="GN21" s="32">
        <v>0</v>
      </c>
      <c r="GO21" s="32">
        <f>MEDIAN(3,2,2,3,3,2,2,3)</f>
        <v>2.5</v>
      </c>
      <c r="GP21" s="32">
        <v>2</v>
      </c>
      <c r="GQ21" s="32">
        <v>1</v>
      </c>
      <c r="GR21" s="32">
        <v>1</v>
      </c>
      <c r="GS21" s="33">
        <f t="shared" si="24"/>
        <v>6.5</v>
      </c>
      <c r="GU21" s="34">
        <v>18</v>
      </c>
      <c r="GV21" s="32">
        <v>0</v>
      </c>
      <c r="GW21" s="32">
        <f>MEDIAN(2,3,2,3,3,3,3,3,3,2,2,3,2,2)</f>
        <v>3</v>
      </c>
      <c r="GX21" s="32">
        <v>2</v>
      </c>
      <c r="GY21" s="36">
        <v>0</v>
      </c>
      <c r="GZ21" s="32">
        <v>0</v>
      </c>
      <c r="HA21" s="33">
        <f t="shared" si="25"/>
        <v>5</v>
      </c>
      <c r="HC21" s="34">
        <v>18</v>
      </c>
      <c r="HD21" s="32">
        <v>1</v>
      </c>
      <c r="HE21" s="32">
        <f>MEDIAN(3,3,3,3,3,3,3,3,3,3,3,2,3,3)</f>
        <v>3</v>
      </c>
      <c r="HF21" s="32">
        <v>2</v>
      </c>
      <c r="HG21" s="36">
        <v>2</v>
      </c>
      <c r="HH21" s="32">
        <v>1</v>
      </c>
      <c r="HI21" s="33">
        <f t="shared" si="26"/>
        <v>9</v>
      </c>
      <c r="HK21" s="42">
        <v>18</v>
      </c>
      <c r="HL21" s="43"/>
      <c r="HM21" s="43"/>
      <c r="HN21" s="43"/>
      <c r="HO21" s="43"/>
      <c r="HP21" s="43"/>
      <c r="HQ21" s="44"/>
      <c r="HS21" s="34">
        <v>18</v>
      </c>
      <c r="HT21" s="32">
        <v>1</v>
      </c>
      <c r="HU21" s="32">
        <f>MEDIAN(2,2,2,2,2,3,3,3,3,2)</f>
        <v>2</v>
      </c>
      <c r="HV21" s="32">
        <v>1</v>
      </c>
      <c r="HW21" s="32">
        <v>3</v>
      </c>
      <c r="HX21" s="32">
        <v>1</v>
      </c>
      <c r="HY21" s="33">
        <f t="shared" si="28"/>
        <v>8</v>
      </c>
      <c r="IA21" s="34">
        <v>18</v>
      </c>
      <c r="IB21" s="32">
        <v>2</v>
      </c>
      <c r="IC21" s="32">
        <f>MEDIAN(2,3,3,3,2,3)</f>
        <v>3</v>
      </c>
      <c r="ID21" s="32">
        <v>3</v>
      </c>
      <c r="IE21" s="32">
        <v>3</v>
      </c>
      <c r="IF21" s="32">
        <v>2</v>
      </c>
      <c r="IG21" s="33">
        <f t="shared" si="29"/>
        <v>13</v>
      </c>
      <c r="II21" s="42">
        <v>18</v>
      </c>
      <c r="IJ21" s="43"/>
      <c r="IK21" s="43"/>
      <c r="IL21" s="43"/>
      <c r="IM21" s="43"/>
      <c r="IN21" s="43"/>
      <c r="IO21" s="44"/>
      <c r="IQ21" s="38">
        <v>18</v>
      </c>
      <c r="IR21" s="32">
        <v>1</v>
      </c>
      <c r="IS21" s="32">
        <f>MEDIAN(3,3,3,2,3,3,2,2,2)</f>
        <v>3</v>
      </c>
      <c r="IT21" s="32">
        <v>3</v>
      </c>
      <c r="IU21" s="32">
        <v>0</v>
      </c>
      <c r="IV21" s="32">
        <v>1</v>
      </c>
      <c r="IW21" s="33">
        <f t="shared" si="30"/>
        <v>8</v>
      </c>
      <c r="IY21" s="37">
        <v>18</v>
      </c>
      <c r="IZ21" s="32">
        <v>0</v>
      </c>
      <c r="JA21" s="32">
        <f>MEDIAN(3,2,2,3,2,2,3,3,1,3,2,2)</f>
        <v>2</v>
      </c>
      <c r="JB21" s="32">
        <v>3</v>
      </c>
      <c r="JC21" s="32">
        <v>1</v>
      </c>
      <c r="JD21" s="32">
        <v>1</v>
      </c>
      <c r="JE21" s="33">
        <f t="shared" si="31"/>
        <v>7</v>
      </c>
      <c r="JG21" s="42">
        <v>18</v>
      </c>
      <c r="JH21" s="43"/>
      <c r="JI21" s="43"/>
      <c r="JJ21" s="43"/>
      <c r="JK21" s="43"/>
      <c r="JL21" s="43"/>
      <c r="JM21" s="44"/>
      <c r="JO21" s="37">
        <v>18</v>
      </c>
      <c r="JP21" s="32">
        <v>1</v>
      </c>
      <c r="JQ21" s="32">
        <f>MEDIAN(3,2,3,2,3,2,2,2,3,3,3,3,3,2,2,3,3,2,3)</f>
        <v>3</v>
      </c>
      <c r="JR21" s="32">
        <v>2</v>
      </c>
      <c r="JS21" s="32">
        <v>0</v>
      </c>
      <c r="JT21" s="32">
        <v>1</v>
      </c>
      <c r="JU21" s="33">
        <f t="shared" si="33"/>
        <v>7</v>
      </c>
      <c r="JW21" s="34">
        <v>18</v>
      </c>
      <c r="JX21" s="32">
        <v>0</v>
      </c>
      <c r="JY21" s="32">
        <f>MEDIAN(2,3,2,2,2)</f>
        <v>2</v>
      </c>
      <c r="JZ21" s="32">
        <v>2</v>
      </c>
      <c r="KA21" s="32">
        <v>1</v>
      </c>
      <c r="KB21" s="32">
        <v>0</v>
      </c>
      <c r="KC21" s="33">
        <f t="shared" si="34"/>
        <v>5</v>
      </c>
      <c r="KE21" s="34">
        <v>18</v>
      </c>
      <c r="KF21" s="32">
        <v>1</v>
      </c>
      <c r="KG21" s="32">
        <f>MEDIAN(2,3,3,2,3,3,3,3,3,3,3,2,3,3,2,3,3,3,3,3,3,3,3,3,3,3,3,3,3,3,3,3,3,3,3)</f>
        <v>3</v>
      </c>
      <c r="KH21" s="32">
        <v>2</v>
      </c>
      <c r="KI21" s="32">
        <v>1</v>
      </c>
      <c r="KJ21" s="32">
        <v>1</v>
      </c>
      <c r="KK21" s="33">
        <f t="shared" si="35"/>
        <v>8</v>
      </c>
      <c r="KM21" s="34">
        <v>18</v>
      </c>
      <c r="KN21" s="32">
        <v>1</v>
      </c>
      <c r="KO21" s="32">
        <f>MEDIAN(2,3,3,3,3,2,2,2,2,3,2,3,2,3,3,3,3)</f>
        <v>3</v>
      </c>
      <c r="KP21" s="32">
        <v>1</v>
      </c>
      <c r="KQ21" s="36" t="s">
        <v>31</v>
      </c>
      <c r="KR21" s="32">
        <v>1</v>
      </c>
      <c r="KS21" s="33">
        <f t="shared" si="36"/>
        <v>6</v>
      </c>
      <c r="KT21">
        <f>KS21*(5/4)</f>
        <v>7.5</v>
      </c>
      <c r="KU21" s="39">
        <v>18</v>
      </c>
      <c r="KV21" s="32">
        <v>0</v>
      </c>
      <c r="KW21" s="32">
        <f>MEDIAN(3,2,2,2,1,3,3,2,2,3,3,2,3,3)</f>
        <v>2.5</v>
      </c>
      <c r="KX21" s="32">
        <v>2</v>
      </c>
      <c r="KY21" s="32">
        <v>0</v>
      </c>
      <c r="KZ21" s="32">
        <v>1</v>
      </c>
      <c r="LA21" s="33">
        <f t="shared" si="37"/>
        <v>5.5</v>
      </c>
      <c r="LC21" s="34">
        <v>18</v>
      </c>
      <c r="LD21" s="32">
        <v>2</v>
      </c>
      <c r="LE21" s="32">
        <f>MEDIAN(3,3,3,3,2,2,2,3)</f>
        <v>3</v>
      </c>
      <c r="LF21" s="32">
        <v>2</v>
      </c>
      <c r="LG21" s="36" t="s">
        <v>31</v>
      </c>
      <c r="LH21" s="32">
        <v>2</v>
      </c>
      <c r="LI21" s="33">
        <f t="shared" si="38"/>
        <v>9</v>
      </c>
      <c r="LJ21">
        <f t="shared" si="41"/>
        <v>11.25</v>
      </c>
      <c r="LK21" s="42">
        <v>18</v>
      </c>
      <c r="LL21" s="43"/>
      <c r="LM21" s="43"/>
      <c r="LN21" s="43"/>
      <c r="LO21" s="43"/>
      <c r="LP21" s="43"/>
      <c r="LQ21" s="44"/>
    </row>
    <row r="22" spans="1:329" x14ac:dyDescent="0.35">
      <c r="A22" s="50">
        <v>19</v>
      </c>
      <c r="B22" s="51"/>
      <c r="C22" s="43"/>
      <c r="D22" s="43"/>
      <c r="E22" s="43"/>
      <c r="F22" s="43"/>
      <c r="G22" s="44"/>
      <c r="H22" s="14"/>
      <c r="J22" s="29">
        <v>19</v>
      </c>
      <c r="K22" s="25">
        <v>2</v>
      </c>
      <c r="L22" s="26">
        <f>MEDIAN(3,3,3,2,3)</f>
        <v>3</v>
      </c>
      <c r="M22" s="26">
        <v>2</v>
      </c>
      <c r="N22" s="26" t="s">
        <v>31</v>
      </c>
      <c r="O22" s="26">
        <v>2</v>
      </c>
      <c r="P22" s="27">
        <f t="shared" si="1"/>
        <v>9</v>
      </c>
      <c r="R22" s="28">
        <v>19</v>
      </c>
      <c r="S22" s="25">
        <v>2</v>
      </c>
      <c r="T22" s="26">
        <f>MEDIAN(2,2,2,3,2,2,2,3,2)</f>
        <v>2</v>
      </c>
      <c r="U22" s="26">
        <v>2</v>
      </c>
      <c r="V22" s="26">
        <v>3</v>
      </c>
      <c r="W22" s="26">
        <v>2</v>
      </c>
      <c r="X22" s="27">
        <f t="shared" si="2"/>
        <v>11</v>
      </c>
      <c r="Z22" s="50">
        <v>19</v>
      </c>
      <c r="AA22" s="51"/>
      <c r="AB22" s="43"/>
      <c r="AC22" s="43"/>
      <c r="AD22" s="43"/>
      <c r="AE22" s="43"/>
      <c r="AF22" s="44"/>
      <c r="AH22" s="30">
        <v>19</v>
      </c>
      <c r="AI22" s="25">
        <v>1</v>
      </c>
      <c r="AJ22" s="26">
        <f>MEDIAN(3,2,3,3,0)</f>
        <v>3</v>
      </c>
      <c r="AK22" s="26">
        <v>3</v>
      </c>
      <c r="AL22" s="26">
        <v>1</v>
      </c>
      <c r="AM22" s="26">
        <v>1</v>
      </c>
      <c r="AN22" s="27">
        <f t="shared" si="4"/>
        <v>9</v>
      </c>
      <c r="AP22" s="30">
        <v>19</v>
      </c>
      <c r="AQ22" s="25">
        <v>2</v>
      </c>
      <c r="AR22" s="26">
        <f>MEDIAN(2,2,3,3,3,3,2,2,2,2,3,2,3,2,3,3,3,3,2,3,2,3)</f>
        <v>3</v>
      </c>
      <c r="AS22" s="26">
        <v>3</v>
      </c>
      <c r="AT22" s="26">
        <v>3</v>
      </c>
      <c r="AU22" s="26">
        <v>2</v>
      </c>
      <c r="AV22" s="27">
        <f t="shared" si="5"/>
        <v>13</v>
      </c>
      <c r="AX22" s="29">
        <v>19</v>
      </c>
      <c r="AY22" s="25">
        <v>1</v>
      </c>
      <c r="AZ22" s="26">
        <f>MEDIAN(3,3,3,3,3,3,2,2,3,2,3,3,3)</f>
        <v>3</v>
      </c>
      <c r="BA22" s="26">
        <v>2</v>
      </c>
      <c r="BB22" s="26">
        <v>2</v>
      </c>
      <c r="BC22" s="26">
        <v>1</v>
      </c>
      <c r="BD22" s="27">
        <f t="shared" si="6"/>
        <v>9</v>
      </c>
      <c r="BF22" s="50">
        <v>19</v>
      </c>
      <c r="BG22" s="51"/>
      <c r="BH22" s="43"/>
      <c r="BI22" s="43"/>
      <c r="BJ22" s="43"/>
      <c r="BK22" s="43"/>
      <c r="BL22" s="44"/>
      <c r="BM22" s="14"/>
      <c r="BN22" s="50">
        <v>19</v>
      </c>
      <c r="BO22" s="51"/>
      <c r="BP22" s="43"/>
      <c r="BQ22" s="43"/>
      <c r="BR22" s="43"/>
      <c r="BS22" s="43"/>
      <c r="BT22" s="44"/>
      <c r="BU22" s="14"/>
      <c r="BV22" s="28">
        <v>19</v>
      </c>
      <c r="BW22" s="25">
        <v>0</v>
      </c>
      <c r="BX22" s="26">
        <f>MEDIAN(3,3,3,3,3,2,3,2,2,2,3,3,3,2,3,2,3)</f>
        <v>3</v>
      </c>
      <c r="BY22" s="26">
        <v>2</v>
      </c>
      <c r="BZ22" s="26">
        <v>1</v>
      </c>
      <c r="CA22" s="26">
        <v>1</v>
      </c>
      <c r="CB22" s="27">
        <f t="shared" si="9"/>
        <v>7</v>
      </c>
      <c r="CC22" s="14"/>
      <c r="CD22" s="50">
        <v>19</v>
      </c>
      <c r="CE22" s="51"/>
      <c r="CF22" s="43"/>
      <c r="CG22" s="43"/>
      <c r="CH22" s="43"/>
      <c r="CI22" s="43"/>
      <c r="CJ22" s="44"/>
      <c r="CK22" s="14"/>
      <c r="CL22" s="28">
        <v>19</v>
      </c>
      <c r="CM22" s="25">
        <v>1</v>
      </c>
      <c r="CN22" s="26">
        <f>MEDIAN(3,3,2,3,3,3,3,2,2,2,2,3)</f>
        <v>3</v>
      </c>
      <c r="CO22" s="26">
        <v>2</v>
      </c>
      <c r="CP22" s="26">
        <v>3</v>
      </c>
      <c r="CQ22" s="26">
        <v>1</v>
      </c>
      <c r="CR22" s="27">
        <f t="shared" si="11"/>
        <v>10</v>
      </c>
      <c r="CT22" s="30">
        <v>19</v>
      </c>
      <c r="CU22" s="25">
        <v>0</v>
      </c>
      <c r="CV22" s="26">
        <f>MEDIAN(2,3,3)</f>
        <v>3</v>
      </c>
      <c r="CW22" s="26">
        <v>2</v>
      </c>
      <c r="CX22" s="26">
        <v>0</v>
      </c>
      <c r="CY22" s="26">
        <v>1</v>
      </c>
      <c r="CZ22" s="27">
        <f t="shared" si="12"/>
        <v>6</v>
      </c>
      <c r="DB22" s="30">
        <v>19</v>
      </c>
      <c r="DC22" s="25">
        <v>1</v>
      </c>
      <c r="DD22" s="26">
        <f>MEDIAN(3,3,3,2,3,3)</f>
        <v>3</v>
      </c>
      <c r="DE22" s="26">
        <v>3</v>
      </c>
      <c r="DF22" s="26">
        <v>1</v>
      </c>
      <c r="DG22" s="26">
        <v>1</v>
      </c>
      <c r="DH22" s="27">
        <f t="shared" si="13"/>
        <v>9</v>
      </c>
      <c r="DJ22" s="30">
        <v>19</v>
      </c>
      <c r="DK22" s="25">
        <v>0</v>
      </c>
      <c r="DL22" s="26">
        <f>MEDIAN(3,3,3,3,3,3,3,3,3,3,3,3,3)</f>
        <v>3</v>
      </c>
      <c r="DM22" s="26">
        <v>2</v>
      </c>
      <c r="DN22" s="26">
        <v>3</v>
      </c>
      <c r="DO22" s="26">
        <v>1</v>
      </c>
      <c r="DP22" s="27">
        <f t="shared" si="14"/>
        <v>9</v>
      </c>
      <c r="DQ22" s="14"/>
      <c r="DR22" s="30">
        <v>19</v>
      </c>
      <c r="DS22" s="25">
        <v>1</v>
      </c>
      <c r="DT22" s="26">
        <f>MEDIAN(3,3,3,3,3,3,3,3,2,2,3,2,3,3)</f>
        <v>3</v>
      </c>
      <c r="DU22" s="26">
        <v>3</v>
      </c>
      <c r="DV22" s="26">
        <v>1</v>
      </c>
      <c r="DW22" s="26">
        <v>1</v>
      </c>
      <c r="DX22" s="27">
        <f t="shared" si="15"/>
        <v>9</v>
      </c>
      <c r="DY22" s="14"/>
      <c r="EA22" s="42">
        <v>19</v>
      </c>
      <c r="EB22" s="43"/>
      <c r="EC22" s="43"/>
      <c r="ED22" s="43"/>
      <c r="EE22" s="43"/>
      <c r="EF22" s="43"/>
      <c r="EG22" s="44"/>
      <c r="EI22" s="34">
        <v>19</v>
      </c>
      <c r="EJ22" s="32">
        <v>0</v>
      </c>
      <c r="EK22" s="32">
        <f>MEDIAN(3,3,3,2,3,3,3,3,3,3,2)</f>
        <v>3</v>
      </c>
      <c r="EL22" s="32">
        <v>3</v>
      </c>
      <c r="EM22" s="36">
        <v>1</v>
      </c>
      <c r="EN22" s="32">
        <v>0</v>
      </c>
      <c r="EO22" s="33">
        <f t="shared" si="18"/>
        <v>7</v>
      </c>
      <c r="EQ22" s="42">
        <v>19</v>
      </c>
      <c r="ER22" s="43"/>
      <c r="ES22" s="43"/>
      <c r="ET22" s="43"/>
      <c r="EU22" s="43"/>
      <c r="EV22" s="43"/>
      <c r="EW22" s="44"/>
      <c r="EY22" s="37">
        <v>19</v>
      </c>
      <c r="EZ22" s="32">
        <v>1</v>
      </c>
      <c r="FA22" s="32">
        <f>MEDIAN(3,3,3,3,3,3,3,3,3,3,3,1,2,1,3,3,2,3,2,2,3,3,2,2,3,3,2,3,2,3,3,3,3,2,3)</f>
        <v>3</v>
      </c>
      <c r="FB22" s="32">
        <v>2</v>
      </c>
      <c r="FC22" s="36">
        <v>1</v>
      </c>
      <c r="FD22" s="32">
        <v>1</v>
      </c>
      <c r="FE22" s="33">
        <f t="shared" si="20"/>
        <v>8</v>
      </c>
      <c r="FG22" s="35">
        <v>19</v>
      </c>
      <c r="FH22" s="32">
        <v>2</v>
      </c>
      <c r="FI22" s="36">
        <f>MEDIAN(3,3,2,3,2,2,2,3,2,2)</f>
        <v>2</v>
      </c>
      <c r="FJ22" s="32">
        <v>1</v>
      </c>
      <c r="FK22" s="36">
        <v>2</v>
      </c>
      <c r="FL22" s="32">
        <v>1</v>
      </c>
      <c r="FM22" s="33">
        <f t="shared" si="40"/>
        <v>8</v>
      </c>
      <c r="FO22" s="59">
        <v>19</v>
      </c>
      <c r="FP22" s="32">
        <v>0</v>
      </c>
      <c r="FQ22" s="32">
        <f>MEDIAN(3,3,2,2,2,3,3,2,3,3,3,3,3,3,3,3,3,3,3,2,3,3,3,2,2)</f>
        <v>3</v>
      </c>
      <c r="FR22" s="32">
        <v>2</v>
      </c>
      <c r="FS22" s="36">
        <v>1</v>
      </c>
      <c r="FT22" s="32">
        <v>1</v>
      </c>
      <c r="FU22" s="33">
        <f t="shared" si="21"/>
        <v>7</v>
      </c>
      <c r="FW22" s="34">
        <v>19</v>
      </c>
      <c r="FX22" s="32">
        <v>0</v>
      </c>
      <c r="FY22" s="32">
        <f>MEDIAN(3,2,2,2,2,3,3,3,2,3,2,3,2,2,3,3,2,2,3,2,2)</f>
        <v>2</v>
      </c>
      <c r="FZ22" s="32">
        <v>2</v>
      </c>
      <c r="GA22" s="36">
        <v>2</v>
      </c>
      <c r="GB22" s="32">
        <v>3</v>
      </c>
      <c r="GC22" s="33">
        <f t="shared" si="22"/>
        <v>9</v>
      </c>
      <c r="GE22" s="37">
        <v>19</v>
      </c>
      <c r="GF22" s="32">
        <v>2</v>
      </c>
      <c r="GG22" s="32">
        <f>MEDIAN(3,3,3,2,2,3,2,3,3,2,3,2,2,3)</f>
        <v>3</v>
      </c>
      <c r="GH22" s="32">
        <v>3</v>
      </c>
      <c r="GI22" s="36">
        <v>1</v>
      </c>
      <c r="GJ22" s="32">
        <v>0</v>
      </c>
      <c r="GK22" s="33">
        <f t="shared" si="23"/>
        <v>9</v>
      </c>
      <c r="GM22" s="37">
        <v>19</v>
      </c>
      <c r="GN22" s="32">
        <v>1</v>
      </c>
      <c r="GO22" s="32">
        <f>MEDIAN(3,3,3,3,3,2)</f>
        <v>3</v>
      </c>
      <c r="GP22" s="32">
        <v>2</v>
      </c>
      <c r="GQ22" s="36">
        <v>2</v>
      </c>
      <c r="GR22" s="32">
        <v>3</v>
      </c>
      <c r="GS22" s="33">
        <f t="shared" si="24"/>
        <v>11</v>
      </c>
      <c r="GU22" s="34">
        <v>19</v>
      </c>
      <c r="GV22" s="32">
        <v>0</v>
      </c>
      <c r="GW22" s="32">
        <f>MEDIAN(3,3,3,3,2,3,3,3,3,2,3,3,3,3,3,3,3,3,2,2,3,3,3,3,3,3,3,3,3)</f>
        <v>3</v>
      </c>
      <c r="GX22" s="32">
        <v>2</v>
      </c>
      <c r="GY22" s="36">
        <v>0</v>
      </c>
      <c r="GZ22" s="32">
        <v>1</v>
      </c>
      <c r="HA22" s="33">
        <f t="shared" si="25"/>
        <v>6</v>
      </c>
      <c r="HC22" s="34">
        <v>19</v>
      </c>
      <c r="HD22" s="32">
        <v>1</v>
      </c>
      <c r="HE22" s="32">
        <f>MEDIAN(3,3,3,3,3,3,3,3,3,3,3,3,3,3)</f>
        <v>3</v>
      </c>
      <c r="HF22" s="32">
        <v>2</v>
      </c>
      <c r="HG22" s="36" t="s">
        <v>31</v>
      </c>
      <c r="HH22" s="32">
        <v>1</v>
      </c>
      <c r="HI22" s="33">
        <f t="shared" si="26"/>
        <v>7</v>
      </c>
      <c r="HJ22">
        <f>HI22*(5/4)</f>
        <v>8.75</v>
      </c>
      <c r="HK22" s="42">
        <v>19</v>
      </c>
      <c r="HL22" s="43"/>
      <c r="HM22" s="43"/>
      <c r="HN22" s="43"/>
      <c r="HO22" s="43"/>
      <c r="HP22" s="43"/>
      <c r="HQ22" s="44"/>
      <c r="HS22" s="34">
        <v>19</v>
      </c>
      <c r="HT22" s="32">
        <v>1</v>
      </c>
      <c r="HU22" s="32">
        <f>MEDIAN(3,2,2,3,2,2,2,3,3)</f>
        <v>2</v>
      </c>
      <c r="HV22" s="32">
        <v>2</v>
      </c>
      <c r="HW22" s="32">
        <v>1</v>
      </c>
      <c r="HX22" s="32">
        <v>1</v>
      </c>
      <c r="HY22" s="33">
        <f t="shared" si="28"/>
        <v>7</v>
      </c>
      <c r="IA22" s="39">
        <v>19</v>
      </c>
      <c r="IB22" s="32">
        <v>0</v>
      </c>
      <c r="IC22" s="32">
        <f>MEDIAN(2,2,3,3,3,2,3)</f>
        <v>3</v>
      </c>
      <c r="ID22" s="32">
        <v>2</v>
      </c>
      <c r="IE22" s="32">
        <v>1</v>
      </c>
      <c r="IF22" s="32">
        <v>1</v>
      </c>
      <c r="IG22" s="33">
        <f t="shared" si="29"/>
        <v>7</v>
      </c>
      <c r="II22" s="42">
        <v>19</v>
      </c>
      <c r="IJ22" s="43"/>
      <c r="IK22" s="43"/>
      <c r="IL22" s="43"/>
      <c r="IM22" s="43"/>
      <c r="IN22" s="43"/>
      <c r="IO22" s="44"/>
      <c r="IQ22" s="34">
        <v>19</v>
      </c>
      <c r="IR22" s="32">
        <v>1</v>
      </c>
      <c r="IS22" s="32">
        <f>MEDIAN(2,3,2,3,3)</f>
        <v>3</v>
      </c>
      <c r="IT22" s="32">
        <v>2</v>
      </c>
      <c r="IU22" s="32">
        <v>0</v>
      </c>
      <c r="IV22" s="32">
        <v>1</v>
      </c>
      <c r="IW22" s="33">
        <f t="shared" si="30"/>
        <v>7</v>
      </c>
      <c r="IY22" s="37">
        <v>19</v>
      </c>
      <c r="IZ22" s="32">
        <v>0</v>
      </c>
      <c r="JA22" s="32">
        <f>MEDIAN(3,3,3,3,3,3,2,3,2)</f>
        <v>3</v>
      </c>
      <c r="JB22" s="32">
        <v>2</v>
      </c>
      <c r="JC22" s="32">
        <v>1</v>
      </c>
      <c r="JD22" s="32">
        <v>1</v>
      </c>
      <c r="JE22" s="33">
        <f t="shared" si="31"/>
        <v>7</v>
      </c>
      <c r="JG22" s="42">
        <v>19</v>
      </c>
      <c r="JH22" s="43"/>
      <c r="JI22" s="43"/>
      <c r="JJ22" s="43"/>
      <c r="JK22" s="43"/>
      <c r="JL22" s="43"/>
      <c r="JM22" s="44"/>
      <c r="JO22" s="37">
        <v>19</v>
      </c>
      <c r="JP22" s="32">
        <v>1</v>
      </c>
      <c r="JQ22" s="32">
        <f>MEDIAN(3,1,3)</f>
        <v>3</v>
      </c>
      <c r="JR22" s="32">
        <v>2</v>
      </c>
      <c r="JS22" s="32">
        <v>1</v>
      </c>
      <c r="JT22" s="32">
        <v>0</v>
      </c>
      <c r="JU22" s="33">
        <f t="shared" si="33"/>
        <v>7</v>
      </c>
      <c r="JW22" s="37">
        <v>19</v>
      </c>
      <c r="JX22" s="32">
        <v>2</v>
      </c>
      <c r="JY22" s="32">
        <f>MEDIAN(2,3,3,3,3,3,3,3,3,3,3,3,3,3,3,3,3,3,3,3,3,3,3)</f>
        <v>3</v>
      </c>
      <c r="JZ22" s="32">
        <v>2</v>
      </c>
      <c r="KA22" s="36" t="s">
        <v>31</v>
      </c>
      <c r="KB22" s="32">
        <v>0</v>
      </c>
      <c r="KC22" s="33">
        <f t="shared" si="34"/>
        <v>7</v>
      </c>
      <c r="KD22">
        <f>KC22*(5/4)</f>
        <v>8.75</v>
      </c>
      <c r="KE22" s="34">
        <v>19</v>
      </c>
      <c r="KF22" s="32">
        <v>0</v>
      </c>
      <c r="KG22" s="32">
        <f>MEDIAN(3,3,3,3,3,3,3,3,3,2,3,3,3,3,3,3,3,3,3,3,3,3,3)</f>
        <v>3</v>
      </c>
      <c r="KH22" s="32">
        <v>3</v>
      </c>
      <c r="KI22" s="32">
        <v>1</v>
      </c>
      <c r="KJ22" s="32">
        <v>1</v>
      </c>
      <c r="KK22" s="33">
        <f t="shared" si="35"/>
        <v>8</v>
      </c>
      <c r="KM22" s="37">
        <v>19</v>
      </c>
      <c r="KN22" s="32">
        <v>1</v>
      </c>
      <c r="KO22" s="32">
        <f>MEDIAN(2,3,3,3,2,3,3,2,3,3,2,2)</f>
        <v>3</v>
      </c>
      <c r="KP22" s="32">
        <v>3</v>
      </c>
      <c r="KQ22" s="32">
        <v>1</v>
      </c>
      <c r="KR22" s="32">
        <v>1</v>
      </c>
      <c r="KS22" s="33">
        <f t="shared" si="36"/>
        <v>9</v>
      </c>
      <c r="KU22" s="34">
        <v>19</v>
      </c>
      <c r="KV22" s="32">
        <v>0</v>
      </c>
      <c r="KW22" s="32">
        <f>MEDIAN(2,3,3,3,3,3,3,2,3,3,2,3,3,3,3,3)</f>
        <v>3</v>
      </c>
      <c r="KX22" s="32">
        <v>2</v>
      </c>
      <c r="KY22" s="32">
        <v>3</v>
      </c>
      <c r="KZ22" s="32">
        <v>1</v>
      </c>
      <c r="LA22" s="33">
        <f t="shared" si="37"/>
        <v>9</v>
      </c>
      <c r="LC22" s="37">
        <v>19</v>
      </c>
      <c r="LD22" s="32">
        <v>2</v>
      </c>
      <c r="LE22" s="32">
        <f>MEDIAN(3,3,2,3,3,3,3)</f>
        <v>3</v>
      </c>
      <c r="LF22" s="32">
        <v>2</v>
      </c>
      <c r="LG22" s="36" t="s">
        <v>31</v>
      </c>
      <c r="LH22" s="32">
        <v>3</v>
      </c>
      <c r="LI22" s="33">
        <f t="shared" si="38"/>
        <v>10</v>
      </c>
      <c r="LJ22">
        <f t="shared" si="41"/>
        <v>12.5</v>
      </c>
      <c r="LK22" s="42">
        <v>19</v>
      </c>
      <c r="LL22" s="43"/>
      <c r="LM22" s="43"/>
      <c r="LN22" s="43"/>
      <c r="LO22" s="43"/>
      <c r="LP22" s="43"/>
      <c r="LQ22" s="44"/>
    </row>
    <row r="23" spans="1:329" x14ac:dyDescent="0.35">
      <c r="A23" s="50">
        <v>20</v>
      </c>
      <c r="B23" s="51"/>
      <c r="C23" s="43"/>
      <c r="D23" s="43"/>
      <c r="E23" s="43"/>
      <c r="F23" s="43"/>
      <c r="G23" s="44"/>
      <c r="H23" s="14"/>
      <c r="J23" s="28">
        <v>20</v>
      </c>
      <c r="K23" s="25">
        <v>3</v>
      </c>
      <c r="L23" s="26">
        <f>MEDIAN(3,3,2,3)</f>
        <v>3</v>
      </c>
      <c r="M23" s="26">
        <v>3</v>
      </c>
      <c r="N23" s="26" t="s">
        <v>31</v>
      </c>
      <c r="O23" s="26">
        <v>2</v>
      </c>
      <c r="P23" s="27">
        <f t="shared" si="1"/>
        <v>11</v>
      </c>
      <c r="R23" s="30">
        <v>20</v>
      </c>
      <c r="S23" s="25">
        <v>1</v>
      </c>
      <c r="T23" s="26">
        <f>MEDIAN(2,3,3,3,3,2,3,3,3,2,3,3,2,3,3)</f>
        <v>3</v>
      </c>
      <c r="U23" s="26">
        <v>3</v>
      </c>
      <c r="V23" s="26">
        <v>1</v>
      </c>
      <c r="W23" s="26">
        <v>2</v>
      </c>
      <c r="X23" s="27">
        <f t="shared" si="2"/>
        <v>10</v>
      </c>
      <c r="Z23" s="50">
        <v>20</v>
      </c>
      <c r="AA23" s="51"/>
      <c r="AB23" s="43"/>
      <c r="AC23" s="43"/>
      <c r="AD23" s="43"/>
      <c r="AE23" s="43"/>
      <c r="AF23" s="44"/>
      <c r="AH23" s="30">
        <v>20</v>
      </c>
      <c r="AI23" s="25">
        <v>1</v>
      </c>
      <c r="AJ23" s="26">
        <f>MEDIAN(3,3,3,3,3,3,3,3,2,3)</f>
        <v>3</v>
      </c>
      <c r="AK23" s="26">
        <v>3</v>
      </c>
      <c r="AL23" s="26">
        <v>1</v>
      </c>
      <c r="AM23" s="26">
        <v>1</v>
      </c>
      <c r="AN23" s="27">
        <f t="shared" si="4"/>
        <v>9</v>
      </c>
      <c r="AP23" s="30">
        <v>20</v>
      </c>
      <c r="AQ23" s="25">
        <v>0</v>
      </c>
      <c r="AR23" s="26">
        <f>MEDIAN(1,2,3,1,1,2,2,2,2,2,2,1,1,1,1,2,2,2,2,1,2,2,2,2,1,1,2,2,2,1,1,2,2,2,1)</f>
        <v>2</v>
      </c>
      <c r="AS23" s="26">
        <v>2</v>
      </c>
      <c r="AT23" s="26">
        <v>3</v>
      </c>
      <c r="AU23" s="26">
        <v>2</v>
      </c>
      <c r="AV23" s="27">
        <f t="shared" si="5"/>
        <v>9</v>
      </c>
      <c r="AX23" s="30">
        <v>20</v>
      </c>
      <c r="AY23" s="25">
        <v>1</v>
      </c>
      <c r="AZ23" s="26">
        <f>MEDIAN(3,3,3,3)</f>
        <v>3</v>
      </c>
      <c r="BA23" s="26">
        <v>2</v>
      </c>
      <c r="BB23" s="26">
        <v>0</v>
      </c>
      <c r="BC23" s="26">
        <v>1</v>
      </c>
      <c r="BD23" s="27">
        <f t="shared" si="6"/>
        <v>7</v>
      </c>
      <c r="BF23" s="50">
        <v>20</v>
      </c>
      <c r="BG23" s="51"/>
      <c r="BH23" s="43"/>
      <c r="BI23" s="43"/>
      <c r="BJ23" s="43"/>
      <c r="BK23" s="43"/>
      <c r="BL23" s="44"/>
      <c r="BM23" s="14"/>
      <c r="BN23" s="50">
        <v>20</v>
      </c>
      <c r="BO23" s="51"/>
      <c r="BP23" s="43"/>
      <c r="BQ23" s="43"/>
      <c r="BR23" s="43"/>
      <c r="BS23" s="43"/>
      <c r="BT23" s="44"/>
      <c r="BU23" s="14"/>
      <c r="BV23" s="30">
        <v>20</v>
      </c>
      <c r="BW23" s="25">
        <v>1</v>
      </c>
      <c r="BX23" s="26">
        <f>MEDIAN(1,1,2,2,2,2,2,2,2,2,2,1,2,2,2)</f>
        <v>2</v>
      </c>
      <c r="BY23" s="26">
        <v>1</v>
      </c>
      <c r="BZ23" s="26">
        <v>2</v>
      </c>
      <c r="CA23" s="26">
        <v>1</v>
      </c>
      <c r="CB23" s="27">
        <f t="shared" si="9"/>
        <v>7</v>
      </c>
      <c r="CC23" s="14"/>
      <c r="CD23" s="50">
        <v>20</v>
      </c>
      <c r="CE23" s="51"/>
      <c r="CF23" s="43"/>
      <c r="CG23" s="43"/>
      <c r="CH23" s="43"/>
      <c r="CI23" s="43"/>
      <c r="CJ23" s="44"/>
      <c r="CK23" s="14"/>
      <c r="CL23" s="28">
        <v>20</v>
      </c>
      <c r="CM23" s="25">
        <v>1</v>
      </c>
      <c r="CN23" s="26">
        <f>MEDIAN(3,2,3,3,3,3,3,2,2,2,2,3,2)</f>
        <v>3</v>
      </c>
      <c r="CO23" s="26">
        <v>2</v>
      </c>
      <c r="CP23" s="26">
        <v>3</v>
      </c>
      <c r="CQ23" s="26">
        <v>3</v>
      </c>
      <c r="CR23" s="27">
        <f t="shared" si="11"/>
        <v>12</v>
      </c>
      <c r="CT23" s="24">
        <v>20</v>
      </c>
      <c r="CU23" s="25">
        <v>0</v>
      </c>
      <c r="CV23" s="26">
        <f>MEDIAN(2,3,3,3,3,3,3,3,3,3,3,3,2,2,3,3,3,3,3,3,3,3,3,3,3,2,3,2,2,2,3,3,3,3,3,3,3)</f>
        <v>3</v>
      </c>
      <c r="CW23" s="26">
        <v>3</v>
      </c>
      <c r="CX23" s="26">
        <v>0</v>
      </c>
      <c r="CY23" s="26">
        <v>1</v>
      </c>
      <c r="CZ23" s="27">
        <f t="shared" si="12"/>
        <v>7</v>
      </c>
      <c r="DB23" s="30">
        <v>20</v>
      </c>
      <c r="DC23" s="25">
        <v>0</v>
      </c>
      <c r="DD23" s="26">
        <f>MEDIAN(3,3,3,3,3,3,3,2,3,3,3,2,3)</f>
        <v>3</v>
      </c>
      <c r="DE23" s="26">
        <v>2</v>
      </c>
      <c r="DF23" s="26">
        <v>1</v>
      </c>
      <c r="DG23" s="26">
        <v>1</v>
      </c>
      <c r="DH23" s="27">
        <f t="shared" si="13"/>
        <v>7</v>
      </c>
      <c r="DJ23" s="31">
        <v>20</v>
      </c>
      <c r="DK23" s="25">
        <v>0</v>
      </c>
      <c r="DL23" s="26">
        <f>MEDIAN(3,2,3,2,2,3)</f>
        <v>2.5</v>
      </c>
      <c r="DM23" s="26">
        <v>2</v>
      </c>
      <c r="DN23" s="26">
        <v>1</v>
      </c>
      <c r="DO23" s="26">
        <v>0</v>
      </c>
      <c r="DP23" s="27">
        <f t="shared" si="14"/>
        <v>5.5</v>
      </c>
      <c r="DQ23" s="14"/>
      <c r="DR23" s="30">
        <v>20</v>
      </c>
      <c r="DS23" s="25">
        <v>1</v>
      </c>
      <c r="DT23" s="26">
        <f>MEDIAN(3,3,3,3,3,3,3,3,3,3)</f>
        <v>3</v>
      </c>
      <c r="DU23" s="26">
        <v>1</v>
      </c>
      <c r="DV23" s="26">
        <v>1</v>
      </c>
      <c r="DW23" s="26">
        <v>1</v>
      </c>
      <c r="DX23" s="27">
        <f t="shared" si="15"/>
        <v>7</v>
      </c>
      <c r="DY23" s="14"/>
      <c r="EA23" s="42">
        <v>20</v>
      </c>
      <c r="EB23" s="43"/>
      <c r="EC23" s="43"/>
      <c r="ED23" s="43"/>
      <c r="EE23" s="43"/>
      <c r="EF23" s="43"/>
      <c r="EG23" s="44"/>
      <c r="EI23" s="34">
        <v>20</v>
      </c>
      <c r="EJ23" s="32">
        <v>1</v>
      </c>
      <c r="EK23" s="32">
        <f>MEDIAN(3,3,2,3,3,3,3,3,3,3,3,3,3,3,3)</f>
        <v>3</v>
      </c>
      <c r="EL23" s="32">
        <v>3</v>
      </c>
      <c r="EM23" s="32">
        <v>2</v>
      </c>
      <c r="EN23" s="32">
        <v>2</v>
      </c>
      <c r="EO23" s="33">
        <f t="shared" si="18"/>
        <v>11</v>
      </c>
      <c r="EQ23" s="42">
        <v>20</v>
      </c>
      <c r="ER23" s="43"/>
      <c r="ES23" s="43"/>
      <c r="ET23" s="43"/>
      <c r="EU23" s="43"/>
      <c r="EV23" s="43"/>
      <c r="EW23" s="44"/>
      <c r="EY23" s="37">
        <v>20</v>
      </c>
      <c r="EZ23" s="32">
        <v>1</v>
      </c>
      <c r="FA23" s="32">
        <f>MEDIAN(2,3,2,3,2,3,3,2,3,2)</f>
        <v>2.5</v>
      </c>
      <c r="FB23" s="32">
        <v>2</v>
      </c>
      <c r="FC23" s="36">
        <v>1</v>
      </c>
      <c r="FD23" s="32">
        <v>0</v>
      </c>
      <c r="FE23" s="33">
        <f t="shared" si="20"/>
        <v>6.5</v>
      </c>
      <c r="FG23" s="35">
        <v>20</v>
      </c>
      <c r="FH23" s="32">
        <v>2</v>
      </c>
      <c r="FI23" s="36">
        <f>MEDIAN(3,3,3,2,3,2,3,3,2,2)</f>
        <v>3</v>
      </c>
      <c r="FJ23" s="32">
        <v>2</v>
      </c>
      <c r="FK23" s="36">
        <v>2</v>
      </c>
      <c r="FL23" s="32">
        <v>1</v>
      </c>
      <c r="FM23" s="33">
        <f t="shared" si="40"/>
        <v>10</v>
      </c>
      <c r="FO23" s="37">
        <v>20</v>
      </c>
      <c r="FP23" s="32">
        <v>2</v>
      </c>
      <c r="FQ23" s="32">
        <f>MEDIAN(3,3,3,3,2,2,3,3,3,3,3,2,3,3,3)</f>
        <v>3</v>
      </c>
      <c r="FR23" s="32">
        <v>1</v>
      </c>
      <c r="FS23" s="36">
        <v>3</v>
      </c>
      <c r="FT23" s="32">
        <v>1</v>
      </c>
      <c r="FU23" s="33">
        <f t="shared" si="21"/>
        <v>10</v>
      </c>
      <c r="FW23" s="35">
        <v>20</v>
      </c>
      <c r="FX23" s="32">
        <v>0</v>
      </c>
      <c r="FY23" s="32">
        <f>MEDIAN(2,2,2,2,2,2,3,2,2,2,3,3,3)</f>
        <v>2</v>
      </c>
      <c r="FZ23" s="32">
        <v>3</v>
      </c>
      <c r="GA23" s="36">
        <v>2</v>
      </c>
      <c r="GB23" s="32">
        <v>2</v>
      </c>
      <c r="GC23" s="33">
        <f t="shared" si="22"/>
        <v>9</v>
      </c>
      <c r="GE23" s="34">
        <v>20</v>
      </c>
      <c r="GF23" s="32">
        <v>0</v>
      </c>
      <c r="GG23" s="32">
        <f>MEDIAN(2,3,3,3,3,3,3,3,3,3,3,3,3,3,3,3,2,3,3,3,3,3,3,3,3)</f>
        <v>3</v>
      </c>
      <c r="GH23" s="32">
        <v>2</v>
      </c>
      <c r="GI23" s="36">
        <v>1</v>
      </c>
      <c r="GJ23" s="32">
        <v>1</v>
      </c>
      <c r="GK23" s="33">
        <f t="shared" si="23"/>
        <v>7</v>
      </c>
      <c r="GM23" s="56">
        <v>20</v>
      </c>
      <c r="GN23" s="32">
        <v>0</v>
      </c>
      <c r="GO23" s="32">
        <f>MEDIAN(2,3,3,2,3,2,3,2)</f>
        <v>2.5</v>
      </c>
      <c r="GP23" s="32">
        <v>2</v>
      </c>
      <c r="GQ23" s="32">
        <v>1</v>
      </c>
      <c r="GR23" s="32">
        <v>1</v>
      </c>
      <c r="GS23" s="33">
        <f t="shared" si="24"/>
        <v>6.5</v>
      </c>
      <c r="GU23" s="37">
        <v>20</v>
      </c>
      <c r="GV23" s="32">
        <v>0</v>
      </c>
      <c r="GW23" s="32">
        <f>MEDIAN(3,2,3,3,3,3,3,3)</f>
        <v>3</v>
      </c>
      <c r="GX23" s="32">
        <v>2</v>
      </c>
      <c r="GY23" s="36">
        <v>1</v>
      </c>
      <c r="GZ23" s="32">
        <v>0</v>
      </c>
      <c r="HA23" s="33">
        <f t="shared" si="25"/>
        <v>6</v>
      </c>
      <c r="HC23" s="42">
        <v>20</v>
      </c>
      <c r="HD23" s="43"/>
      <c r="HE23" s="43"/>
      <c r="HF23" s="43"/>
      <c r="HG23" s="43"/>
      <c r="HH23" s="43"/>
      <c r="HI23" s="44"/>
      <c r="HK23" s="42">
        <v>20</v>
      </c>
      <c r="HL23" s="43"/>
      <c r="HM23" s="43"/>
      <c r="HN23" s="43"/>
      <c r="HO23" s="43"/>
      <c r="HP23" s="43"/>
      <c r="HQ23" s="44"/>
      <c r="HS23" s="37">
        <v>20</v>
      </c>
      <c r="HT23" s="32">
        <v>1</v>
      </c>
      <c r="HU23" s="32">
        <f>MEDIAN(3,3,2,3)</f>
        <v>3</v>
      </c>
      <c r="HV23" s="32">
        <v>0</v>
      </c>
      <c r="HW23" s="32">
        <v>1</v>
      </c>
      <c r="HX23" s="32">
        <v>0</v>
      </c>
      <c r="HY23" s="33">
        <f t="shared" si="28"/>
        <v>5</v>
      </c>
      <c r="IA23" s="35">
        <v>20</v>
      </c>
      <c r="IB23" s="32">
        <v>2</v>
      </c>
      <c r="IC23" s="32">
        <f>MEDIAN(3,3,3,3,3,3,3,3,2,3,3,3,3,3,3,1)</f>
        <v>3</v>
      </c>
      <c r="ID23" s="32">
        <v>2</v>
      </c>
      <c r="IE23" s="32">
        <v>2</v>
      </c>
      <c r="IF23" s="32">
        <v>2</v>
      </c>
      <c r="IG23" s="33">
        <f t="shared" si="29"/>
        <v>11</v>
      </c>
      <c r="II23" s="42">
        <v>20</v>
      </c>
      <c r="IJ23" s="43"/>
      <c r="IK23" s="43"/>
      <c r="IL23" s="43"/>
      <c r="IM23" s="43"/>
      <c r="IN23" s="43"/>
      <c r="IO23" s="44"/>
      <c r="IQ23" s="34">
        <v>20</v>
      </c>
      <c r="IR23" s="32">
        <v>0</v>
      </c>
      <c r="IS23" s="32">
        <f>MEDIAN(3,3,3,3,2,3,2,2)</f>
        <v>3</v>
      </c>
      <c r="IT23" s="32">
        <v>1</v>
      </c>
      <c r="IU23" s="32">
        <v>1</v>
      </c>
      <c r="IV23" s="32">
        <v>0</v>
      </c>
      <c r="IW23" s="33">
        <f t="shared" si="30"/>
        <v>5</v>
      </c>
      <c r="IY23" s="37">
        <v>20</v>
      </c>
      <c r="IZ23" s="32">
        <v>1</v>
      </c>
      <c r="JA23" s="32">
        <f>MEDIAN(2,3,2,2,3,3,3)</f>
        <v>3</v>
      </c>
      <c r="JB23" s="32">
        <v>3</v>
      </c>
      <c r="JC23" s="32">
        <v>1</v>
      </c>
      <c r="JD23" s="32">
        <v>2</v>
      </c>
      <c r="JE23" s="33">
        <f t="shared" si="31"/>
        <v>10</v>
      </c>
      <c r="JG23" s="42">
        <v>20</v>
      </c>
      <c r="JH23" s="43"/>
      <c r="JI23" s="43"/>
      <c r="JJ23" s="43"/>
      <c r="JK23" s="43"/>
      <c r="JL23" s="43"/>
      <c r="JM23" s="44"/>
      <c r="JO23" s="37">
        <v>20</v>
      </c>
      <c r="JP23" s="32">
        <v>0</v>
      </c>
      <c r="JQ23" s="32">
        <f>MEDIAN(3,2,2,3,2,3,2,2,2,2,3)</f>
        <v>2</v>
      </c>
      <c r="JR23" s="32">
        <v>3</v>
      </c>
      <c r="JS23" s="32">
        <v>1</v>
      </c>
      <c r="JT23" s="32">
        <v>1</v>
      </c>
      <c r="JU23" s="33">
        <f t="shared" si="33"/>
        <v>7</v>
      </c>
      <c r="JW23" s="34">
        <v>20</v>
      </c>
      <c r="JX23" s="32">
        <v>0</v>
      </c>
      <c r="JY23" s="32">
        <f>MEDIAN(3,3,2,3,3,2,3,2,3,3,2,3,3,3,3)</f>
        <v>3</v>
      </c>
      <c r="JZ23" s="32">
        <v>2</v>
      </c>
      <c r="KA23" s="32">
        <v>1</v>
      </c>
      <c r="KB23" s="32">
        <v>0</v>
      </c>
      <c r="KC23" s="33">
        <f t="shared" si="34"/>
        <v>6</v>
      </c>
      <c r="KE23" s="37">
        <v>20</v>
      </c>
      <c r="KF23" s="32">
        <v>0</v>
      </c>
      <c r="KG23" s="32">
        <f>MEDIAN(2,2,3,2,3,2,2,3,2,2,2,3,3,3,2,2,3,1,3,3,3,2,2,2)</f>
        <v>2</v>
      </c>
      <c r="KH23" s="32">
        <v>1</v>
      </c>
      <c r="KI23" s="32">
        <v>1</v>
      </c>
      <c r="KJ23" s="32">
        <v>1</v>
      </c>
      <c r="KK23" s="33">
        <f t="shared" si="35"/>
        <v>5</v>
      </c>
      <c r="KM23" s="34">
        <v>20</v>
      </c>
      <c r="KN23" s="32">
        <v>0</v>
      </c>
      <c r="KO23" s="32">
        <f>MEDIAN(3,3,3,3,3,3,3,3,3,2,2,3,3,2,3,3,3,2,3)</f>
        <v>3</v>
      </c>
      <c r="KP23" s="32">
        <v>2</v>
      </c>
      <c r="KQ23" s="32">
        <v>1</v>
      </c>
      <c r="KR23" s="32">
        <v>1</v>
      </c>
      <c r="KS23" s="33">
        <f t="shared" si="36"/>
        <v>7</v>
      </c>
      <c r="KU23" s="34">
        <v>20</v>
      </c>
      <c r="KV23" s="32">
        <v>1</v>
      </c>
      <c r="KW23" s="32">
        <f>MEDIAN(2,3,3,3,3,3,2,2,3,3,2,2,3,3,3,3,3,3,3,3,3,3,3,3,3,2,3,3,3,2,3,2)</f>
        <v>3</v>
      </c>
      <c r="KX23" s="32">
        <v>1</v>
      </c>
      <c r="KY23" s="32">
        <v>1</v>
      </c>
      <c r="KZ23" s="32">
        <v>1</v>
      </c>
      <c r="LA23" s="33">
        <f t="shared" si="37"/>
        <v>7</v>
      </c>
      <c r="LC23" s="34">
        <v>20</v>
      </c>
      <c r="LD23" s="32">
        <v>3</v>
      </c>
      <c r="LE23" s="32">
        <f>MEDIAN(3,3,2,3,3,2,2,3,2,3,3,3,2,3,3,2,3,3,3,3,3,3,3,3,3,3,3,2,3,2)</f>
        <v>3</v>
      </c>
      <c r="LF23" s="32">
        <v>2</v>
      </c>
      <c r="LG23" s="36" t="s">
        <v>31</v>
      </c>
      <c r="LH23" s="32">
        <v>3</v>
      </c>
      <c r="LI23" s="33">
        <f t="shared" si="38"/>
        <v>11</v>
      </c>
      <c r="LJ23">
        <f t="shared" si="41"/>
        <v>13.75</v>
      </c>
      <c r="LK23" s="42">
        <v>20</v>
      </c>
      <c r="LL23" s="43"/>
      <c r="LM23" s="43"/>
      <c r="LN23" s="43"/>
      <c r="LO23" s="43"/>
      <c r="LP23" s="43"/>
      <c r="LQ23" s="44"/>
    </row>
    <row r="24" spans="1:329" x14ac:dyDescent="0.35">
      <c r="A24" s="50">
        <v>21</v>
      </c>
      <c r="B24" s="51"/>
      <c r="C24" s="43"/>
      <c r="D24" s="43"/>
      <c r="E24" s="43"/>
      <c r="F24" s="43"/>
      <c r="G24" s="44"/>
      <c r="H24" s="14"/>
      <c r="J24" s="50">
        <v>21</v>
      </c>
      <c r="K24" s="51"/>
      <c r="L24" s="43"/>
      <c r="M24" s="43"/>
      <c r="N24" s="43"/>
      <c r="O24" s="43"/>
      <c r="P24" s="44"/>
      <c r="R24" s="28">
        <v>21</v>
      </c>
      <c r="S24" s="25">
        <v>0</v>
      </c>
      <c r="T24" s="26">
        <f>MEDIAN(3,3,2,2,2,3,3,2,3,2,2,3,3,2,2,2,2,2,2,3,3,2,2,3,3)</f>
        <v>2</v>
      </c>
      <c r="U24" s="26">
        <v>2</v>
      </c>
      <c r="V24" s="26">
        <v>1</v>
      </c>
      <c r="W24" s="26">
        <v>2</v>
      </c>
      <c r="X24" s="27">
        <f t="shared" si="2"/>
        <v>7</v>
      </c>
      <c r="Z24" s="50">
        <v>21</v>
      </c>
      <c r="AA24" s="51"/>
      <c r="AB24" s="43"/>
      <c r="AC24" s="43"/>
      <c r="AD24" s="43"/>
      <c r="AE24" s="43"/>
      <c r="AF24" s="44"/>
      <c r="AH24" s="28">
        <v>21</v>
      </c>
      <c r="AI24" s="25">
        <v>1</v>
      </c>
      <c r="AJ24" s="26">
        <f>MEDIAN(2,2,2,2,2,2,3,2,2,2,2,2,2,3,2,2,3,3,2,3)</f>
        <v>2</v>
      </c>
      <c r="AK24" s="26">
        <v>1</v>
      </c>
      <c r="AL24" s="26">
        <v>1</v>
      </c>
      <c r="AM24" s="26">
        <v>1</v>
      </c>
      <c r="AN24" s="27">
        <f t="shared" si="4"/>
        <v>6</v>
      </c>
      <c r="AP24" s="30">
        <v>21</v>
      </c>
      <c r="AQ24" s="25">
        <v>0</v>
      </c>
      <c r="AR24" s="26">
        <f>MEDIAN(2,2,2,2,2,2,2,3,3,3)</f>
        <v>2</v>
      </c>
      <c r="AS24" s="26">
        <v>2</v>
      </c>
      <c r="AT24" s="26" t="s">
        <v>31</v>
      </c>
      <c r="AU24" s="26">
        <v>1</v>
      </c>
      <c r="AV24" s="27">
        <f t="shared" si="5"/>
        <v>5</v>
      </c>
      <c r="AX24" s="29">
        <v>21</v>
      </c>
      <c r="AY24" s="25">
        <v>1</v>
      </c>
      <c r="AZ24" s="26">
        <f>MEDIAN(3,3,3,3,3,2,3,2,3,3,3,2,2,3,2,3,3,2,3,2,3,2,2)</f>
        <v>3</v>
      </c>
      <c r="BA24" s="26">
        <v>3</v>
      </c>
      <c r="BB24" s="26">
        <v>2</v>
      </c>
      <c r="BC24" s="26">
        <v>2</v>
      </c>
      <c r="BD24" s="27">
        <f t="shared" si="6"/>
        <v>11</v>
      </c>
      <c r="BF24" s="50">
        <v>21</v>
      </c>
      <c r="BG24" s="51"/>
      <c r="BH24" s="43"/>
      <c r="BI24" s="43"/>
      <c r="BJ24" s="43"/>
      <c r="BK24" s="43"/>
      <c r="BL24" s="44"/>
      <c r="BM24" s="14"/>
      <c r="BN24" s="50">
        <v>21</v>
      </c>
      <c r="BO24" s="51"/>
      <c r="BP24" s="43"/>
      <c r="BQ24" s="43"/>
      <c r="BR24" s="43"/>
      <c r="BS24" s="43"/>
      <c r="BT24" s="44"/>
      <c r="BU24" s="14"/>
      <c r="BV24" s="30">
        <v>21</v>
      </c>
      <c r="BW24" s="25">
        <v>0</v>
      </c>
      <c r="BX24" s="26">
        <f>MEDIAN(3,3,2,3,2,2,2,2,3,2)</f>
        <v>2</v>
      </c>
      <c r="BY24" s="26">
        <v>2</v>
      </c>
      <c r="BZ24" s="26">
        <v>3</v>
      </c>
      <c r="CA24" s="26">
        <v>1</v>
      </c>
      <c r="CB24" s="27">
        <f t="shared" si="9"/>
        <v>8</v>
      </c>
      <c r="CC24" s="14"/>
      <c r="CD24" s="50">
        <v>21</v>
      </c>
      <c r="CE24" s="51"/>
      <c r="CF24" s="43"/>
      <c r="CG24" s="43"/>
      <c r="CH24" s="43"/>
      <c r="CI24" s="43"/>
      <c r="CJ24" s="44"/>
      <c r="CK24" s="14"/>
      <c r="CL24" s="28">
        <v>21</v>
      </c>
      <c r="CM24" s="25">
        <v>0</v>
      </c>
      <c r="CN24" s="26">
        <f>MEDIAN(3,3,3,3,3,3,2,2,3,3,3,3,2,3,3,3,2,2,3,3)</f>
        <v>3</v>
      </c>
      <c r="CO24" s="26">
        <v>2</v>
      </c>
      <c r="CP24" s="26">
        <v>3</v>
      </c>
      <c r="CQ24" s="26">
        <v>3</v>
      </c>
      <c r="CR24" s="27">
        <f t="shared" si="11"/>
        <v>11</v>
      </c>
      <c r="CT24" s="30">
        <v>21</v>
      </c>
      <c r="CU24" s="25">
        <v>0</v>
      </c>
      <c r="CV24" s="26">
        <f>MEDIAN(3,3,3,1,3,3,2,3)</f>
        <v>3</v>
      </c>
      <c r="CW24" s="26">
        <v>2</v>
      </c>
      <c r="CX24" s="26">
        <v>0</v>
      </c>
      <c r="CY24" s="26">
        <v>0</v>
      </c>
      <c r="CZ24" s="27">
        <f t="shared" si="12"/>
        <v>5</v>
      </c>
      <c r="DB24" s="30">
        <v>21</v>
      </c>
      <c r="DC24" s="25">
        <v>0</v>
      </c>
      <c r="DD24" s="26">
        <f>MEDIAN(3,3,3,2,3,3,3,3,2,3,3,2,3)</f>
        <v>3</v>
      </c>
      <c r="DE24" s="26">
        <v>3</v>
      </c>
      <c r="DF24" s="26">
        <v>1</v>
      </c>
      <c r="DG24" s="26">
        <v>0</v>
      </c>
      <c r="DH24" s="27">
        <f t="shared" si="13"/>
        <v>7</v>
      </c>
      <c r="DJ24" s="30">
        <v>21</v>
      </c>
      <c r="DK24" s="25">
        <v>0</v>
      </c>
      <c r="DL24" s="26">
        <f>MEDIAN(0,2,2,2,2,2,2,2)</f>
        <v>2</v>
      </c>
      <c r="DM24" s="26">
        <v>3</v>
      </c>
      <c r="DN24" s="26">
        <v>2</v>
      </c>
      <c r="DO24" s="26">
        <v>1</v>
      </c>
      <c r="DP24" s="27">
        <f t="shared" si="14"/>
        <v>8</v>
      </c>
      <c r="DQ24" s="14"/>
      <c r="DR24" s="30">
        <v>21</v>
      </c>
      <c r="DS24" s="25">
        <v>0</v>
      </c>
      <c r="DT24" s="26">
        <f>MEDIAN(3,3,3,3,2,3,3,3,3,2,3)</f>
        <v>3</v>
      </c>
      <c r="DU24" s="26">
        <v>3</v>
      </c>
      <c r="DV24" s="26">
        <v>1</v>
      </c>
      <c r="DW24" s="26">
        <v>1</v>
      </c>
      <c r="DX24" s="27">
        <f t="shared" si="15"/>
        <v>8</v>
      </c>
      <c r="DY24" s="14"/>
      <c r="EA24" s="42">
        <v>21</v>
      </c>
      <c r="EB24" s="43"/>
      <c r="EC24" s="43"/>
      <c r="ED24" s="43"/>
      <c r="EE24" s="43"/>
      <c r="EF24" s="43"/>
      <c r="EG24" s="44"/>
      <c r="EI24" s="34">
        <v>21</v>
      </c>
      <c r="EJ24" s="32">
        <v>0</v>
      </c>
      <c r="EK24" s="32">
        <f>MEDIAN(3,3,3,3,3,3,3,3,3,3,3,3,3,3,3,3,3,3,3,3,3,3,3,3,3,3,3,3)</f>
        <v>3</v>
      </c>
      <c r="EL24" s="32">
        <v>3</v>
      </c>
      <c r="EM24" s="32">
        <v>1</v>
      </c>
      <c r="EN24" s="32">
        <v>1</v>
      </c>
      <c r="EO24" s="33">
        <f t="shared" si="18"/>
        <v>8</v>
      </c>
      <c r="EQ24" s="42">
        <v>21</v>
      </c>
      <c r="ER24" s="43"/>
      <c r="ES24" s="43"/>
      <c r="ET24" s="43"/>
      <c r="EU24" s="43"/>
      <c r="EV24" s="43"/>
      <c r="EW24" s="44"/>
      <c r="EY24" s="37">
        <v>21</v>
      </c>
      <c r="EZ24" s="32">
        <v>0</v>
      </c>
      <c r="FA24" s="32">
        <f>MEDIAN(3,3,3,3,3,3,3,3,3,3,3,3,3,3,3,3,3,3,3,3,3,3,3,3,2,3)</f>
        <v>3</v>
      </c>
      <c r="FB24" s="32">
        <v>1</v>
      </c>
      <c r="FC24" s="36">
        <v>2</v>
      </c>
      <c r="FD24" s="32">
        <v>1</v>
      </c>
      <c r="FE24" s="33">
        <f t="shared" si="20"/>
        <v>7</v>
      </c>
      <c r="FG24" s="35">
        <v>21</v>
      </c>
      <c r="FH24" s="32">
        <v>2</v>
      </c>
      <c r="FI24" s="36">
        <f>MEDIAN(2,2,3,2,2,2,3,2,2,2,3,3)</f>
        <v>2</v>
      </c>
      <c r="FJ24" s="32">
        <v>2</v>
      </c>
      <c r="FK24" s="36">
        <v>2</v>
      </c>
      <c r="FL24" s="32">
        <v>2</v>
      </c>
      <c r="FM24" s="33">
        <f t="shared" si="40"/>
        <v>10</v>
      </c>
      <c r="FO24" s="34">
        <v>21</v>
      </c>
      <c r="FP24" s="32">
        <v>1</v>
      </c>
      <c r="FQ24" s="32">
        <f>MEDIAN(3,3,3,3,3,2,3,2,2,2,2,3,2,2,2,3,2,2,2,2,3,2,3,2,3,2,3,3,3,2,2,2,3,3,3,2,3)</f>
        <v>2</v>
      </c>
      <c r="FR24" s="32">
        <v>3</v>
      </c>
      <c r="FS24" s="36">
        <v>1</v>
      </c>
      <c r="FT24" s="32">
        <v>1</v>
      </c>
      <c r="FU24" s="33">
        <f t="shared" si="21"/>
        <v>8</v>
      </c>
      <c r="FW24" s="35">
        <v>21</v>
      </c>
      <c r="FX24" s="32">
        <v>1</v>
      </c>
      <c r="FY24" s="32">
        <f>MEDIAN(1,1,1,1,1,1,2,2,2,2)</f>
        <v>1</v>
      </c>
      <c r="FZ24" s="32">
        <v>2</v>
      </c>
      <c r="GA24" s="36">
        <v>2</v>
      </c>
      <c r="GB24" s="32">
        <v>1</v>
      </c>
      <c r="GC24" s="33">
        <f t="shared" si="22"/>
        <v>7</v>
      </c>
      <c r="GE24" s="34">
        <v>21</v>
      </c>
      <c r="GF24" s="32">
        <v>1</v>
      </c>
      <c r="GG24" s="32">
        <f>MEDIAN(3,3,3,3,3,3,3,3,3,3,3,3,3,3,3,2,3,3,3)</f>
        <v>3</v>
      </c>
      <c r="GH24" s="32">
        <v>2</v>
      </c>
      <c r="GI24" s="36">
        <v>1</v>
      </c>
      <c r="GJ24" s="32">
        <v>0</v>
      </c>
      <c r="GK24" s="33">
        <f t="shared" si="23"/>
        <v>7</v>
      </c>
      <c r="GM24" s="37">
        <v>21</v>
      </c>
      <c r="GN24" s="32">
        <v>0</v>
      </c>
      <c r="GO24" s="32">
        <f>MEDIAN(2,3,2,2,3,3,2,3,3,3)</f>
        <v>3</v>
      </c>
      <c r="GP24" s="32">
        <v>2</v>
      </c>
      <c r="GQ24" s="32">
        <v>1</v>
      </c>
      <c r="GR24" s="32">
        <v>0</v>
      </c>
      <c r="GS24" s="33">
        <f t="shared" si="24"/>
        <v>6</v>
      </c>
      <c r="GU24" s="39">
        <v>21</v>
      </c>
      <c r="GV24" s="32">
        <v>1</v>
      </c>
      <c r="GW24" s="32">
        <f>MEDIAN(3,3,3,3,2,3,3,3,3,3,3,3,3)</f>
        <v>3</v>
      </c>
      <c r="GX24" s="32">
        <v>2</v>
      </c>
      <c r="GY24" s="36">
        <v>0</v>
      </c>
      <c r="GZ24" s="32">
        <v>0</v>
      </c>
      <c r="HA24" s="33">
        <f t="shared" si="25"/>
        <v>6</v>
      </c>
      <c r="HC24" s="42">
        <v>21</v>
      </c>
      <c r="HD24" s="43"/>
      <c r="HE24" s="43"/>
      <c r="HF24" s="43"/>
      <c r="HG24" s="43"/>
      <c r="HH24" s="43"/>
      <c r="HI24" s="44"/>
      <c r="HK24" s="42">
        <v>21</v>
      </c>
      <c r="HL24" s="43"/>
      <c r="HM24" s="43"/>
      <c r="HN24" s="43"/>
      <c r="HO24" s="43"/>
      <c r="HP24" s="43"/>
      <c r="HQ24" s="44"/>
      <c r="HS24" s="37">
        <v>21</v>
      </c>
      <c r="HT24" s="32">
        <v>1</v>
      </c>
      <c r="HU24" s="32">
        <f>MEDIAN(3,3,3,2,3)</f>
        <v>3</v>
      </c>
      <c r="HV24" s="32">
        <v>1</v>
      </c>
      <c r="HW24" s="32">
        <v>1</v>
      </c>
      <c r="HX24" s="32">
        <v>1</v>
      </c>
      <c r="HY24" s="33">
        <f t="shared" si="28"/>
        <v>7</v>
      </c>
      <c r="IA24" s="34">
        <v>21</v>
      </c>
      <c r="IB24" s="32">
        <v>1</v>
      </c>
      <c r="IC24" s="32">
        <f>MEDIAN(3,2,3,3,3,3,3,3,3,3,3,3,3,3,3,3,3,3,2,3,2,2,2,3,3,2,2,3,3,3,3,3,2,3,2)</f>
        <v>3</v>
      </c>
      <c r="ID24" s="32">
        <v>3</v>
      </c>
      <c r="IE24" s="32">
        <v>2</v>
      </c>
      <c r="IF24" s="32">
        <v>2</v>
      </c>
      <c r="IG24" s="33">
        <f t="shared" si="29"/>
        <v>11</v>
      </c>
      <c r="II24" s="42">
        <v>21</v>
      </c>
      <c r="IJ24" s="43"/>
      <c r="IK24" s="43"/>
      <c r="IL24" s="43"/>
      <c r="IM24" s="43"/>
      <c r="IN24" s="43"/>
      <c r="IO24" s="44"/>
      <c r="IQ24" s="34">
        <v>21</v>
      </c>
      <c r="IR24" s="32">
        <v>0</v>
      </c>
      <c r="IS24" s="32">
        <f>MEDIAN(2,2,3)</f>
        <v>2</v>
      </c>
      <c r="IT24" s="32">
        <v>3</v>
      </c>
      <c r="IU24" s="32">
        <v>0</v>
      </c>
      <c r="IV24" s="32">
        <v>0</v>
      </c>
      <c r="IW24" s="33">
        <f t="shared" si="30"/>
        <v>5</v>
      </c>
      <c r="IY24" s="34">
        <v>21</v>
      </c>
      <c r="IZ24" s="32">
        <v>0</v>
      </c>
      <c r="JA24" s="32">
        <f>MEDIAN(3,2,2,2,2,3,3,3,3,2,3,3,2,2,2,3,2,2,2,3,3,3,3,3)</f>
        <v>3</v>
      </c>
      <c r="JB24" s="32">
        <v>1</v>
      </c>
      <c r="JC24" s="32">
        <v>0</v>
      </c>
      <c r="JD24" s="32">
        <v>1</v>
      </c>
      <c r="JE24" s="33">
        <f t="shared" si="31"/>
        <v>5</v>
      </c>
      <c r="JG24" s="42">
        <v>21</v>
      </c>
      <c r="JH24" s="43"/>
      <c r="JI24" s="43"/>
      <c r="JJ24" s="43"/>
      <c r="JK24" s="43"/>
      <c r="JL24" s="43"/>
      <c r="JM24" s="44"/>
      <c r="JO24" s="37">
        <v>21</v>
      </c>
      <c r="JP24" s="32">
        <v>0</v>
      </c>
      <c r="JQ24" s="32">
        <f>MEDIAN(3,3,2,2,3,1,3,3,3,2)</f>
        <v>3</v>
      </c>
      <c r="JR24" s="32">
        <v>2</v>
      </c>
      <c r="JS24" s="32">
        <v>1</v>
      </c>
      <c r="JT24" s="32">
        <v>0</v>
      </c>
      <c r="JU24" s="33">
        <f t="shared" si="33"/>
        <v>6</v>
      </c>
      <c r="JW24" s="34">
        <v>21</v>
      </c>
      <c r="JX24" s="32">
        <v>0</v>
      </c>
      <c r="JY24" s="32">
        <f>MEDIAN(3,3,2,2,3,3,2,3,3,3,3,2,3,3,2,2,2,3,3)</f>
        <v>3</v>
      </c>
      <c r="JZ24" s="32">
        <v>2</v>
      </c>
      <c r="KA24" s="32">
        <v>0</v>
      </c>
      <c r="KB24" s="32">
        <v>1</v>
      </c>
      <c r="KC24" s="33">
        <f t="shared" si="34"/>
        <v>6</v>
      </c>
      <c r="KE24" s="34">
        <v>21</v>
      </c>
      <c r="KF24" s="32">
        <v>1</v>
      </c>
      <c r="KG24" s="32">
        <f>MEDIAN(3,3,3,3,2,3,3,3)</f>
        <v>3</v>
      </c>
      <c r="KH24" s="32">
        <v>2</v>
      </c>
      <c r="KI24" s="32">
        <v>0</v>
      </c>
      <c r="KJ24" s="32">
        <v>0</v>
      </c>
      <c r="KK24" s="33">
        <f t="shared" si="35"/>
        <v>6</v>
      </c>
      <c r="KM24" s="34">
        <v>21</v>
      </c>
      <c r="KN24" s="32">
        <v>0</v>
      </c>
      <c r="KO24" s="32">
        <f>MEDIAN(3,3,2,3,2,3,3,3,3,3,3,3,2,3,3,2,3,3,3,3,2,2,3,3)</f>
        <v>3</v>
      </c>
      <c r="KP24" s="32">
        <v>2</v>
      </c>
      <c r="KQ24" s="32">
        <v>0</v>
      </c>
      <c r="KR24" s="32">
        <v>1</v>
      </c>
      <c r="KS24" s="33">
        <f t="shared" si="36"/>
        <v>6</v>
      </c>
      <c r="KU24" s="37">
        <v>21</v>
      </c>
      <c r="KV24" s="32">
        <v>0</v>
      </c>
      <c r="KW24" s="32">
        <f>MEDIAN(3,3,3,3,3,3,2,3,2,2,3,3,3,2,2,2,2,3,2,3,2,2,2,3)</f>
        <v>3</v>
      </c>
      <c r="KX24" s="32">
        <v>1</v>
      </c>
      <c r="KY24" s="32">
        <v>0</v>
      </c>
      <c r="KZ24" s="32">
        <v>1</v>
      </c>
      <c r="LA24" s="33">
        <f t="shared" si="37"/>
        <v>5</v>
      </c>
      <c r="LC24" s="37">
        <v>21</v>
      </c>
      <c r="LD24" s="32">
        <v>2</v>
      </c>
      <c r="LE24" s="32">
        <f>MEDIAN(3,2,2,3,3,3)</f>
        <v>3</v>
      </c>
      <c r="LF24" s="32">
        <v>3</v>
      </c>
      <c r="LG24" s="32">
        <v>1</v>
      </c>
      <c r="LH24" s="32">
        <v>2</v>
      </c>
      <c r="LI24" s="33">
        <f t="shared" si="38"/>
        <v>11</v>
      </c>
      <c r="LK24" s="42">
        <v>21</v>
      </c>
      <c r="LL24" s="43"/>
      <c r="LM24" s="43"/>
      <c r="LN24" s="43"/>
      <c r="LO24" s="43"/>
      <c r="LP24" s="43"/>
      <c r="LQ24" s="44"/>
    </row>
    <row r="25" spans="1:329" x14ac:dyDescent="0.35">
      <c r="A25" s="50">
        <v>22</v>
      </c>
      <c r="B25" s="51"/>
      <c r="C25" s="43"/>
      <c r="D25" s="43"/>
      <c r="E25" s="43"/>
      <c r="F25" s="43"/>
      <c r="G25" s="44"/>
      <c r="H25" s="14"/>
      <c r="J25" s="50">
        <v>22</v>
      </c>
      <c r="K25" s="51"/>
      <c r="L25" s="43"/>
      <c r="M25" s="43"/>
      <c r="N25" s="43"/>
      <c r="O25" s="43"/>
      <c r="P25" s="44"/>
      <c r="R25" s="28">
        <v>22</v>
      </c>
      <c r="S25" s="25">
        <v>0</v>
      </c>
      <c r="T25" s="26">
        <f>MEDIAN(2,2,1,2,3,3,2,2,2,3,3,2,2,2,2,2,3,2,2,2,2,3,3,3,2,2,1,2,2,2,2)</f>
        <v>2</v>
      </c>
      <c r="U25" s="26">
        <v>2</v>
      </c>
      <c r="V25" s="26">
        <v>1</v>
      </c>
      <c r="W25" s="26">
        <v>1</v>
      </c>
      <c r="X25" s="27">
        <f t="shared" si="2"/>
        <v>6</v>
      </c>
      <c r="Z25" s="50">
        <v>22</v>
      </c>
      <c r="AA25" s="51"/>
      <c r="AB25" s="43"/>
      <c r="AC25" s="43"/>
      <c r="AD25" s="43"/>
      <c r="AE25" s="43"/>
      <c r="AF25" s="44"/>
      <c r="AH25" s="28">
        <v>22</v>
      </c>
      <c r="AI25" s="25">
        <v>2</v>
      </c>
      <c r="AJ25" s="26">
        <f>MEDIAN(3,2,3,2,3,2,2,2,2,2,3,3,3,2,3,3,2)</f>
        <v>2</v>
      </c>
      <c r="AK25" s="26">
        <v>3</v>
      </c>
      <c r="AL25" s="26">
        <v>2</v>
      </c>
      <c r="AM25" s="26">
        <v>1</v>
      </c>
      <c r="AN25" s="27">
        <f t="shared" si="4"/>
        <v>10</v>
      </c>
      <c r="AP25" s="30">
        <v>22</v>
      </c>
      <c r="AQ25" s="25">
        <v>0</v>
      </c>
      <c r="AR25" s="26">
        <f>MEDIAN(2,3,2,1,3,2,2,2,2,2,2,1,2,2,2,2,2,3,2,2,2,3)</f>
        <v>2</v>
      </c>
      <c r="AS25" s="26">
        <v>2</v>
      </c>
      <c r="AT25" s="26">
        <v>3</v>
      </c>
      <c r="AU25" s="26">
        <v>1</v>
      </c>
      <c r="AV25" s="27">
        <f t="shared" si="5"/>
        <v>8</v>
      </c>
      <c r="AX25" s="29">
        <v>22</v>
      </c>
      <c r="AY25" s="25">
        <v>1</v>
      </c>
      <c r="AZ25" s="26">
        <f>MEDIAN(3,3,2,2,3,3,3,3,2,3,3,3,2,2,2,2,2)</f>
        <v>3</v>
      </c>
      <c r="BA25" s="26">
        <v>2</v>
      </c>
      <c r="BB25" s="26">
        <v>1</v>
      </c>
      <c r="BC25" s="26">
        <v>1</v>
      </c>
      <c r="BD25" s="27">
        <f t="shared" si="6"/>
        <v>8</v>
      </c>
      <c r="BF25" s="50">
        <v>22</v>
      </c>
      <c r="BG25" s="51"/>
      <c r="BH25" s="43"/>
      <c r="BI25" s="43"/>
      <c r="BJ25" s="43"/>
      <c r="BK25" s="43"/>
      <c r="BL25" s="44"/>
      <c r="BM25" s="14"/>
      <c r="BN25" s="50">
        <v>22</v>
      </c>
      <c r="BO25" s="51"/>
      <c r="BP25" s="43"/>
      <c r="BQ25" s="43"/>
      <c r="BR25" s="43"/>
      <c r="BS25" s="43"/>
      <c r="BT25" s="44"/>
      <c r="BU25" s="14"/>
      <c r="BV25" s="28">
        <v>22</v>
      </c>
      <c r="BW25" s="25">
        <v>1</v>
      </c>
      <c r="BX25" s="26">
        <f>MEDIAN(2,3,3,3,3,2,2,2,2,3,3,2,2,1,2,2,1,2,2,2,2,2,2)</f>
        <v>2</v>
      </c>
      <c r="BY25" s="26">
        <v>2</v>
      </c>
      <c r="BZ25" s="26">
        <v>3</v>
      </c>
      <c r="CA25" s="26">
        <v>1</v>
      </c>
      <c r="CB25" s="27">
        <f t="shared" si="9"/>
        <v>9</v>
      </c>
      <c r="CC25" s="14"/>
      <c r="CD25" s="50">
        <v>22</v>
      </c>
      <c r="CE25" s="51"/>
      <c r="CF25" s="43"/>
      <c r="CG25" s="43"/>
      <c r="CH25" s="43"/>
      <c r="CI25" s="43"/>
      <c r="CJ25" s="44"/>
      <c r="CK25" s="14"/>
      <c r="CL25" s="24">
        <v>22</v>
      </c>
      <c r="CM25" s="25">
        <v>1</v>
      </c>
      <c r="CN25" s="26">
        <f>MEDIAN(3,3,2)</f>
        <v>3</v>
      </c>
      <c r="CO25" s="26">
        <v>3</v>
      </c>
      <c r="CP25" s="26">
        <v>3</v>
      </c>
      <c r="CQ25" s="26">
        <v>1</v>
      </c>
      <c r="CR25" s="27">
        <f t="shared" si="11"/>
        <v>11</v>
      </c>
      <c r="CT25" s="30">
        <v>22</v>
      </c>
      <c r="CU25" s="25">
        <v>0</v>
      </c>
      <c r="CV25" s="26">
        <f>MEDIAN(3,2,2,3,3)</f>
        <v>3</v>
      </c>
      <c r="CW25" s="26">
        <v>3</v>
      </c>
      <c r="CX25" s="26">
        <v>2</v>
      </c>
      <c r="CY25" s="26">
        <v>2</v>
      </c>
      <c r="CZ25" s="27">
        <f t="shared" si="12"/>
        <v>10</v>
      </c>
      <c r="DB25" s="30">
        <v>22</v>
      </c>
      <c r="DC25" s="25">
        <v>1</v>
      </c>
      <c r="DD25" s="26">
        <f>MEDIAN(2,3,2,3,2,2,2,3,3,3,2,3,3)</f>
        <v>3</v>
      </c>
      <c r="DE25" s="26">
        <v>3</v>
      </c>
      <c r="DF25" s="26">
        <v>1</v>
      </c>
      <c r="DG25" s="26">
        <v>1</v>
      </c>
      <c r="DH25" s="27">
        <f t="shared" si="13"/>
        <v>9</v>
      </c>
      <c r="DJ25" s="30">
        <v>22</v>
      </c>
      <c r="DK25" s="25">
        <v>0</v>
      </c>
      <c r="DL25" s="26">
        <f>MEDIAN(3,2,1,1,1,1,1,2)</f>
        <v>1</v>
      </c>
      <c r="DM25" s="26">
        <v>3</v>
      </c>
      <c r="DN25" s="26">
        <v>2</v>
      </c>
      <c r="DO25" s="26">
        <v>1</v>
      </c>
      <c r="DP25" s="27">
        <f t="shared" si="14"/>
        <v>7</v>
      </c>
      <c r="DQ25" s="14"/>
      <c r="DR25" s="30">
        <v>22</v>
      </c>
      <c r="DS25" s="25">
        <v>0</v>
      </c>
      <c r="DT25" s="26">
        <f>MEDIAN(3,2,2,3,2)</f>
        <v>2</v>
      </c>
      <c r="DU25" s="26">
        <v>2</v>
      </c>
      <c r="DV25" s="26">
        <v>0</v>
      </c>
      <c r="DW25" s="26">
        <v>0</v>
      </c>
      <c r="DX25" s="27">
        <f t="shared" si="15"/>
        <v>4</v>
      </c>
      <c r="DY25" s="14"/>
      <c r="EA25" s="42">
        <v>22</v>
      </c>
      <c r="EB25" s="43"/>
      <c r="EC25" s="43"/>
      <c r="ED25" s="43"/>
      <c r="EE25" s="43"/>
      <c r="EF25" s="43"/>
      <c r="EG25" s="44"/>
      <c r="EI25" s="34">
        <v>22</v>
      </c>
      <c r="EJ25" s="32">
        <v>1</v>
      </c>
      <c r="EK25" s="32">
        <f>MEDIAN(2,2,3,3,2,3,3,3,3,3,3)</f>
        <v>3</v>
      </c>
      <c r="EL25" s="32">
        <v>3</v>
      </c>
      <c r="EM25" s="32">
        <v>2</v>
      </c>
      <c r="EN25" s="32">
        <v>1</v>
      </c>
      <c r="EO25" s="33">
        <f t="shared" si="18"/>
        <v>10</v>
      </c>
      <c r="EQ25" s="42">
        <v>22</v>
      </c>
      <c r="ER25" s="43"/>
      <c r="ES25" s="43"/>
      <c r="ET25" s="43"/>
      <c r="EU25" s="43"/>
      <c r="EV25" s="43"/>
      <c r="EW25" s="44"/>
      <c r="EY25" s="34">
        <v>22</v>
      </c>
      <c r="EZ25" s="32">
        <v>1</v>
      </c>
      <c r="FA25" s="32">
        <f>MEDIAN(3,3,3,3,3,3,2,2,2,3,3,2,3,3,3,3)</f>
        <v>3</v>
      </c>
      <c r="FB25" s="32">
        <v>1</v>
      </c>
      <c r="FC25" s="36">
        <v>2</v>
      </c>
      <c r="FD25" s="32">
        <v>1</v>
      </c>
      <c r="FE25" s="33">
        <f t="shared" si="20"/>
        <v>8</v>
      </c>
      <c r="FG25" s="35">
        <v>22</v>
      </c>
      <c r="FH25" s="32">
        <v>2</v>
      </c>
      <c r="FI25" s="36">
        <f>MEDIAN(2,2,2,3,2,2,2,2,2,2,2,2,3)</f>
        <v>2</v>
      </c>
      <c r="FJ25" s="32">
        <v>3</v>
      </c>
      <c r="FK25" s="36" t="s">
        <v>31</v>
      </c>
      <c r="FL25" s="32">
        <v>2</v>
      </c>
      <c r="FM25" s="33">
        <f t="shared" si="40"/>
        <v>9</v>
      </c>
      <c r="FN25">
        <f>FM25*(5/4)</f>
        <v>11.25</v>
      </c>
      <c r="FO25" s="37">
        <v>22</v>
      </c>
      <c r="FP25" s="32">
        <v>0</v>
      </c>
      <c r="FQ25" s="32">
        <f>MEDIAN(3,2,3,3,3,3,3,2,2,3,2,2,1,3)</f>
        <v>3</v>
      </c>
      <c r="FR25" s="32">
        <v>2</v>
      </c>
      <c r="FS25" s="36">
        <v>0</v>
      </c>
      <c r="FT25" s="32">
        <v>1</v>
      </c>
      <c r="FU25" s="33">
        <f t="shared" si="21"/>
        <v>6</v>
      </c>
      <c r="FW25" s="34">
        <v>22</v>
      </c>
      <c r="FX25" s="32">
        <v>1</v>
      </c>
      <c r="FY25" s="32">
        <f>MEDIAN(3,3,2,3,3,2,2,3,2,3,3,3,3,3)</f>
        <v>3</v>
      </c>
      <c r="FZ25" s="32">
        <v>3</v>
      </c>
      <c r="GA25" s="36">
        <v>2</v>
      </c>
      <c r="GB25" s="32">
        <v>2</v>
      </c>
      <c r="GC25" s="33">
        <f t="shared" si="22"/>
        <v>11</v>
      </c>
      <c r="GE25" s="34">
        <v>22</v>
      </c>
      <c r="GF25" s="32">
        <v>0</v>
      </c>
      <c r="GG25" s="32">
        <f>MEDIAN(3,3,3,3,3,2,3,3,2,3,2,2,3,3,3)</f>
        <v>3</v>
      </c>
      <c r="GH25" s="32">
        <v>2</v>
      </c>
      <c r="GI25" s="36">
        <v>1</v>
      </c>
      <c r="GJ25" s="32">
        <v>1</v>
      </c>
      <c r="GK25" s="33">
        <f t="shared" si="23"/>
        <v>7</v>
      </c>
      <c r="GM25" s="37">
        <v>22</v>
      </c>
      <c r="GN25" s="32">
        <v>0</v>
      </c>
      <c r="GO25" s="32">
        <f>MEDIAN(3,3,2,3,2,2,3,3,2,2,3,3,2,2,3,2,2,3)</f>
        <v>2.5</v>
      </c>
      <c r="GP25" s="32">
        <v>2</v>
      </c>
      <c r="GQ25" s="36">
        <v>3</v>
      </c>
      <c r="GR25" s="32">
        <v>2</v>
      </c>
      <c r="GS25" s="33">
        <f t="shared" si="24"/>
        <v>9.5</v>
      </c>
      <c r="GU25" s="34">
        <v>22</v>
      </c>
      <c r="GV25" s="32">
        <v>1</v>
      </c>
      <c r="GW25" s="32">
        <f>MEDIAN(2,3,3,3,3,3,3,3,2,0,3,3,3,3,3)</f>
        <v>3</v>
      </c>
      <c r="GX25" s="32">
        <v>3</v>
      </c>
      <c r="GY25" s="36">
        <v>1</v>
      </c>
      <c r="GZ25" s="32">
        <v>1</v>
      </c>
      <c r="HA25" s="33">
        <f t="shared" si="25"/>
        <v>9</v>
      </c>
      <c r="HC25" s="42">
        <v>22</v>
      </c>
      <c r="HD25" s="43"/>
      <c r="HE25" s="43"/>
      <c r="HF25" s="43"/>
      <c r="HG25" s="43"/>
      <c r="HH25" s="43"/>
      <c r="HI25" s="44"/>
      <c r="HK25" s="42">
        <v>22</v>
      </c>
      <c r="HL25" s="43"/>
      <c r="HM25" s="43"/>
      <c r="HN25" s="43"/>
      <c r="HO25" s="43"/>
      <c r="HP25" s="43"/>
      <c r="HQ25" s="44"/>
      <c r="HS25" s="37">
        <v>22</v>
      </c>
      <c r="HT25" s="32">
        <v>2</v>
      </c>
      <c r="HU25" s="32">
        <f>MEDIAN(3,3,3,3)</f>
        <v>3</v>
      </c>
      <c r="HV25" s="32">
        <v>2</v>
      </c>
      <c r="HW25" s="32" t="s">
        <v>31</v>
      </c>
      <c r="HX25" s="32">
        <v>1</v>
      </c>
      <c r="HY25" s="33">
        <f t="shared" si="28"/>
        <v>8</v>
      </c>
      <c r="HZ25">
        <f>HY25*(5/4)</f>
        <v>10</v>
      </c>
      <c r="IA25" s="35">
        <v>22</v>
      </c>
      <c r="IB25" s="32">
        <v>1</v>
      </c>
      <c r="IC25" s="32">
        <f>MEDIAN(2,2,2,3,3,2,2,3,2,3,2,2,3)</f>
        <v>2</v>
      </c>
      <c r="ID25" s="32">
        <v>2</v>
      </c>
      <c r="IE25" s="32">
        <v>2</v>
      </c>
      <c r="IF25" s="32">
        <v>1</v>
      </c>
      <c r="IG25" s="33">
        <f t="shared" si="29"/>
        <v>8</v>
      </c>
      <c r="II25" s="42">
        <v>22</v>
      </c>
      <c r="IJ25" s="43"/>
      <c r="IK25" s="43"/>
      <c r="IL25" s="43"/>
      <c r="IM25" s="43"/>
      <c r="IN25" s="43"/>
      <c r="IO25" s="44"/>
      <c r="IQ25" s="37">
        <v>22</v>
      </c>
      <c r="IR25" s="32">
        <v>1</v>
      </c>
      <c r="IS25" s="32">
        <f>MEDIAN(3,3,3,3,2,3,2,3,3)</f>
        <v>3</v>
      </c>
      <c r="IT25" s="32">
        <v>2</v>
      </c>
      <c r="IU25" s="32">
        <v>0</v>
      </c>
      <c r="IV25" s="32">
        <v>0</v>
      </c>
      <c r="IW25" s="33">
        <f t="shared" si="30"/>
        <v>6</v>
      </c>
      <c r="IX25" s="60"/>
      <c r="IY25" s="37">
        <v>22</v>
      </c>
      <c r="IZ25" s="32">
        <v>0</v>
      </c>
      <c r="JA25" s="32">
        <f>MEDIAN(3,3,3,3,2,3,2,3,3,3,3,3,3,3,3)</f>
        <v>3</v>
      </c>
      <c r="JB25" s="32">
        <v>2</v>
      </c>
      <c r="JC25" s="32">
        <v>1</v>
      </c>
      <c r="JD25" s="32">
        <v>1</v>
      </c>
      <c r="JE25" s="33">
        <f t="shared" si="31"/>
        <v>7</v>
      </c>
      <c r="JG25" s="42">
        <v>22</v>
      </c>
      <c r="JH25" s="43"/>
      <c r="JI25" s="43"/>
      <c r="JJ25" s="43"/>
      <c r="JK25" s="43"/>
      <c r="JL25" s="43"/>
      <c r="JM25" s="44"/>
      <c r="JO25" s="37">
        <v>22</v>
      </c>
      <c r="JP25" s="32">
        <v>0</v>
      </c>
      <c r="JQ25" s="32">
        <f>MEDIAN(3,2,2,2,3,2,2,2,3,3,3,2,3,2,3,3,3,3,2,2,3,2,3,2,3)</f>
        <v>3</v>
      </c>
      <c r="JR25" s="32">
        <v>2</v>
      </c>
      <c r="JS25" s="32">
        <v>1</v>
      </c>
      <c r="JT25" s="32">
        <v>1</v>
      </c>
      <c r="JU25" s="33">
        <f t="shared" si="33"/>
        <v>7</v>
      </c>
      <c r="JW25" s="34">
        <v>22</v>
      </c>
      <c r="JX25" s="32">
        <v>0</v>
      </c>
      <c r="JY25" s="32">
        <f>MEDIAN(2,3,3,3,3,2,2,3,3,3,3,3,3,3,3,3,3,3,3,2,3,3,2,3,3,3,2,2,3,3,2,3,3,3,3,2,3,2,2,2,2,3,3,3,3,2,3,3,2,2,2,3,2,3,3,2,3)</f>
        <v>3</v>
      </c>
      <c r="JZ25" s="32">
        <v>2</v>
      </c>
      <c r="KA25" s="32">
        <v>1</v>
      </c>
      <c r="KB25" s="32">
        <v>1</v>
      </c>
      <c r="KC25" s="33">
        <f t="shared" si="34"/>
        <v>7</v>
      </c>
      <c r="KE25" s="37">
        <v>22</v>
      </c>
      <c r="KF25" s="32">
        <v>1</v>
      </c>
      <c r="KG25" s="32">
        <f>MEDIAN(2,2,2,2,3)</f>
        <v>2</v>
      </c>
      <c r="KH25" s="32">
        <v>2</v>
      </c>
      <c r="KI25" s="32">
        <v>2</v>
      </c>
      <c r="KJ25" s="32">
        <v>1</v>
      </c>
      <c r="KK25" s="33">
        <f t="shared" si="35"/>
        <v>8</v>
      </c>
      <c r="KM25" s="34">
        <v>22</v>
      </c>
      <c r="KN25" s="32">
        <v>0</v>
      </c>
      <c r="KO25" s="32">
        <f>MEDIAN(3,2,2,2,2,2,2,2,2,3,3,3,3,3,3,3,3,2,2,3,3,2,2,3,2,2,2,2,2,2,2,2,3,2,2,3,2,2,3)</f>
        <v>2</v>
      </c>
      <c r="KP25" s="32">
        <v>3</v>
      </c>
      <c r="KQ25" s="32">
        <v>1</v>
      </c>
      <c r="KR25" s="32">
        <v>1</v>
      </c>
      <c r="KS25" s="33">
        <f t="shared" si="36"/>
        <v>7</v>
      </c>
      <c r="KU25" s="34">
        <v>22</v>
      </c>
      <c r="KV25" s="32">
        <v>1</v>
      </c>
      <c r="KW25" s="32">
        <f>MEDIAN(3,3,3,2,3,3,3,3,3,3,2,3,3,2,3,3,3,3,3)</f>
        <v>3</v>
      </c>
      <c r="KX25" s="32">
        <v>1</v>
      </c>
      <c r="KY25" s="32">
        <v>2</v>
      </c>
      <c r="KZ25" s="32">
        <v>1</v>
      </c>
      <c r="LA25" s="33">
        <f t="shared" si="37"/>
        <v>8</v>
      </c>
      <c r="LC25" s="35">
        <v>22</v>
      </c>
      <c r="LD25" s="32">
        <v>2</v>
      </c>
      <c r="LE25" s="32">
        <f>MEDIAN(3,2,3,3,3,3,3,3)</f>
        <v>3</v>
      </c>
      <c r="LF25" s="32">
        <v>2</v>
      </c>
      <c r="LG25" s="36" t="s">
        <v>31</v>
      </c>
      <c r="LH25" s="32">
        <v>3</v>
      </c>
      <c r="LI25" s="33">
        <f t="shared" si="38"/>
        <v>10</v>
      </c>
      <c r="LJ25">
        <f t="shared" si="41"/>
        <v>12.5</v>
      </c>
      <c r="LK25" s="42">
        <v>22</v>
      </c>
      <c r="LL25" s="43"/>
      <c r="LM25" s="43"/>
      <c r="LN25" s="43"/>
      <c r="LO25" s="43"/>
      <c r="LP25" s="43"/>
      <c r="LQ25" s="44"/>
    </row>
    <row r="26" spans="1:329" x14ac:dyDescent="0.35">
      <c r="A26" s="50">
        <v>23</v>
      </c>
      <c r="B26" s="51"/>
      <c r="C26" s="43"/>
      <c r="D26" s="43"/>
      <c r="E26" s="43"/>
      <c r="F26" s="43"/>
      <c r="G26" s="44"/>
      <c r="H26" s="14"/>
      <c r="J26" s="50">
        <v>23</v>
      </c>
      <c r="K26" s="51"/>
      <c r="L26" s="43"/>
      <c r="M26" s="43"/>
      <c r="N26" s="43"/>
      <c r="O26" s="43"/>
      <c r="P26" s="44"/>
      <c r="R26" s="28">
        <v>23</v>
      </c>
      <c r="S26" s="25">
        <v>0</v>
      </c>
      <c r="T26" s="26">
        <f>MEDIAN(1,3,3,3,3,3,2,2,3,2,3,2,2,3,2,2,3,2,2,3)</f>
        <v>2.5</v>
      </c>
      <c r="U26" s="26">
        <v>3</v>
      </c>
      <c r="V26" s="26">
        <v>3</v>
      </c>
      <c r="W26" s="26">
        <v>2</v>
      </c>
      <c r="X26" s="27">
        <f t="shared" si="2"/>
        <v>10.5</v>
      </c>
      <c r="Z26" s="50">
        <v>23</v>
      </c>
      <c r="AA26" s="51"/>
      <c r="AB26" s="43"/>
      <c r="AC26" s="43"/>
      <c r="AD26" s="43"/>
      <c r="AE26" s="43"/>
      <c r="AF26" s="44"/>
      <c r="AH26" s="29">
        <v>23</v>
      </c>
      <c r="AI26" s="25">
        <v>2</v>
      </c>
      <c r="AJ26" s="26">
        <f>MEDIAN(3,3,2,3,3,3,3,3,3,3,3,3,3,2,2,2,2,2,3,3,3)</f>
        <v>3</v>
      </c>
      <c r="AK26" s="26">
        <v>2</v>
      </c>
      <c r="AL26" s="26">
        <v>2</v>
      </c>
      <c r="AM26" s="26">
        <v>1</v>
      </c>
      <c r="AN26" s="27">
        <f t="shared" si="4"/>
        <v>10</v>
      </c>
      <c r="AP26" s="30">
        <v>23</v>
      </c>
      <c r="AQ26" s="25">
        <v>1</v>
      </c>
      <c r="AR26" s="26">
        <f>MEDIAN(2,2,2,2,2,3,3,2,2,2,2,3,2,2,2,2,3,2,2)</f>
        <v>2</v>
      </c>
      <c r="AS26" s="26">
        <v>2</v>
      </c>
      <c r="AT26" s="26">
        <v>3</v>
      </c>
      <c r="AU26" s="26">
        <v>1</v>
      </c>
      <c r="AV26" s="27">
        <f t="shared" si="5"/>
        <v>9</v>
      </c>
      <c r="AX26" s="29">
        <v>23</v>
      </c>
      <c r="AY26" s="25">
        <v>1</v>
      </c>
      <c r="AZ26" s="26">
        <f>MEDIAN(3,3,3,3,3,3,3,3,3,3,2,2,2,2,3)</f>
        <v>3</v>
      </c>
      <c r="BA26" s="26">
        <v>3</v>
      </c>
      <c r="BB26" s="26">
        <v>1</v>
      </c>
      <c r="BC26" s="26">
        <v>1</v>
      </c>
      <c r="BD26" s="27">
        <f t="shared" si="6"/>
        <v>9</v>
      </c>
      <c r="BF26" s="50">
        <v>23</v>
      </c>
      <c r="BG26" s="51"/>
      <c r="BH26" s="43"/>
      <c r="BI26" s="43"/>
      <c r="BJ26" s="43"/>
      <c r="BK26" s="43"/>
      <c r="BL26" s="44"/>
      <c r="BM26" s="14"/>
      <c r="BN26" s="50">
        <v>23</v>
      </c>
      <c r="BO26" s="51"/>
      <c r="BP26" s="43"/>
      <c r="BQ26" s="43"/>
      <c r="BR26" s="43"/>
      <c r="BS26" s="43"/>
      <c r="BT26" s="44"/>
      <c r="BU26" s="14"/>
      <c r="BV26" s="29">
        <v>23</v>
      </c>
      <c r="BW26" s="25">
        <v>1</v>
      </c>
      <c r="BX26" s="26">
        <f>MEDIAN(2,1,1,1,1,2,2,3,2,3,2,2,2,3,3,2,2,2,1,2,2,2,2,3,3,2,2,1,1,2)</f>
        <v>2</v>
      </c>
      <c r="BY26" s="26">
        <v>3</v>
      </c>
      <c r="BZ26" s="26">
        <v>2</v>
      </c>
      <c r="CA26" s="26">
        <v>2</v>
      </c>
      <c r="CB26" s="27">
        <f t="shared" si="9"/>
        <v>10</v>
      </c>
      <c r="CC26" s="14"/>
      <c r="CD26" s="50">
        <v>23</v>
      </c>
      <c r="CE26" s="51"/>
      <c r="CF26" s="43"/>
      <c r="CG26" s="43"/>
      <c r="CH26" s="43"/>
      <c r="CI26" s="43"/>
      <c r="CJ26" s="44"/>
      <c r="CK26" s="14"/>
      <c r="CL26" s="24">
        <v>23</v>
      </c>
      <c r="CM26" s="25">
        <v>0</v>
      </c>
      <c r="CN26" s="26">
        <f>MEDIAN(3,3,2,3,2,2,3,3,3,3,3,3,2,3,2,2,2,2,3)</f>
        <v>3</v>
      </c>
      <c r="CO26" s="26">
        <v>3</v>
      </c>
      <c r="CP26" s="26">
        <v>1</v>
      </c>
      <c r="CQ26" s="26">
        <v>2</v>
      </c>
      <c r="CR26" s="27">
        <f t="shared" si="11"/>
        <v>9</v>
      </c>
      <c r="CT26" s="30">
        <v>23</v>
      </c>
      <c r="CU26" s="25">
        <v>0</v>
      </c>
      <c r="CV26" s="26">
        <f>MEDIAN(3,3,3,3,3,3,3,2,2,2,3,3,2)</f>
        <v>3</v>
      </c>
      <c r="CW26" s="26">
        <v>2</v>
      </c>
      <c r="CX26" s="26">
        <v>2</v>
      </c>
      <c r="CY26" s="26">
        <v>1</v>
      </c>
      <c r="CZ26" s="27">
        <f t="shared" si="12"/>
        <v>8</v>
      </c>
      <c r="DB26" s="30">
        <v>23</v>
      </c>
      <c r="DC26" s="25">
        <v>1</v>
      </c>
      <c r="DD26" s="26">
        <f>MEDIAN(2,2,3,3,3,3,3,3,3,3,2)</f>
        <v>3</v>
      </c>
      <c r="DE26" s="26">
        <v>3</v>
      </c>
      <c r="DF26" s="26">
        <v>2</v>
      </c>
      <c r="DG26" s="26">
        <v>2</v>
      </c>
      <c r="DH26" s="27">
        <f t="shared" si="13"/>
        <v>11</v>
      </c>
      <c r="DJ26" s="30">
        <v>23</v>
      </c>
      <c r="DK26" s="25">
        <v>1</v>
      </c>
      <c r="DL26" s="26">
        <f>MEDIAN(3,3,2,3,2)</f>
        <v>3</v>
      </c>
      <c r="DM26" s="26">
        <v>3</v>
      </c>
      <c r="DN26" s="26">
        <v>3</v>
      </c>
      <c r="DO26" s="26">
        <v>1</v>
      </c>
      <c r="DP26" s="27">
        <f t="shared" si="14"/>
        <v>11</v>
      </c>
      <c r="DQ26" s="14"/>
      <c r="DR26" s="30">
        <v>23</v>
      </c>
      <c r="DS26" s="25">
        <v>1</v>
      </c>
      <c r="DT26" s="26">
        <f>MEDIAN(3,3,3,3,3,3)</f>
        <v>3</v>
      </c>
      <c r="DU26" s="26">
        <v>3</v>
      </c>
      <c r="DV26" s="26">
        <v>1</v>
      </c>
      <c r="DW26" s="26">
        <v>2</v>
      </c>
      <c r="DX26" s="27">
        <f t="shared" si="15"/>
        <v>10</v>
      </c>
      <c r="DY26" s="14"/>
      <c r="EA26" s="42">
        <v>23</v>
      </c>
      <c r="EB26" s="43"/>
      <c r="EC26" s="43"/>
      <c r="ED26" s="43"/>
      <c r="EE26" s="43"/>
      <c r="EF26" s="43"/>
      <c r="EG26" s="44"/>
      <c r="EI26" s="39">
        <v>23</v>
      </c>
      <c r="EJ26" s="32">
        <v>1</v>
      </c>
      <c r="EK26" s="32">
        <f>MEDIAN(2,3,3,3,3,2,3,3,3,3,3,3)</f>
        <v>3</v>
      </c>
      <c r="EL26" s="32">
        <v>2</v>
      </c>
      <c r="EM26" s="36" t="s">
        <v>31</v>
      </c>
      <c r="EN26" s="32">
        <v>1</v>
      </c>
      <c r="EO26" s="33">
        <f t="shared" si="18"/>
        <v>7</v>
      </c>
      <c r="EP26">
        <f>EO26*(5/4)</f>
        <v>8.75</v>
      </c>
      <c r="EQ26" s="42">
        <v>23</v>
      </c>
      <c r="ER26" s="43"/>
      <c r="ES26" s="43"/>
      <c r="ET26" s="43"/>
      <c r="EU26" s="43"/>
      <c r="EV26" s="43"/>
      <c r="EW26" s="44"/>
      <c r="EY26" s="34">
        <v>23</v>
      </c>
      <c r="EZ26" s="32">
        <v>2</v>
      </c>
      <c r="FA26" s="32">
        <f>MEDIAN(3,3,3,2,3,3,3,3,3,3,3,3,2,3)</f>
        <v>3</v>
      </c>
      <c r="FB26" s="32">
        <v>2</v>
      </c>
      <c r="FC26" s="36">
        <v>0</v>
      </c>
      <c r="FD26" s="32">
        <v>2</v>
      </c>
      <c r="FE26" s="33">
        <f t="shared" si="20"/>
        <v>9</v>
      </c>
      <c r="FG26" s="35">
        <v>23</v>
      </c>
      <c r="FH26" s="32">
        <v>2</v>
      </c>
      <c r="FI26" s="36">
        <f>MEDIAN(3,3,2,3,3,2,3,3,3,3,3,3,3,2,3,3,3,3,3,3,2,2,3,2,3,2,3,3,3,2,3,3,2,2,3,2)</f>
        <v>3</v>
      </c>
      <c r="FJ26" s="32">
        <v>0</v>
      </c>
      <c r="FK26" s="36" t="s">
        <v>31</v>
      </c>
      <c r="FL26" s="32">
        <v>1</v>
      </c>
      <c r="FM26" s="33">
        <f t="shared" si="40"/>
        <v>6</v>
      </c>
      <c r="FN26">
        <f>FM26*(5/4)</f>
        <v>7.5</v>
      </c>
      <c r="FO26" s="37">
        <v>23</v>
      </c>
      <c r="FP26" s="32">
        <v>0</v>
      </c>
      <c r="FQ26" s="32">
        <f>MEDIAN(2,2,3,3,3,3,3,3,2,3,3,3)</f>
        <v>3</v>
      </c>
      <c r="FR26" s="32">
        <v>3</v>
      </c>
      <c r="FS26" s="36">
        <v>1</v>
      </c>
      <c r="FT26" s="32">
        <v>1</v>
      </c>
      <c r="FU26" s="33">
        <f t="shared" si="21"/>
        <v>8</v>
      </c>
      <c r="FW26" s="39">
        <v>23</v>
      </c>
      <c r="FX26" s="32">
        <v>0</v>
      </c>
      <c r="FY26" s="32">
        <f>MEDIAN(2,3,2,3,2,2,3,3,2,2,3,2,3,3)</f>
        <v>2.5</v>
      </c>
      <c r="FZ26" s="32">
        <v>2</v>
      </c>
      <c r="GA26" s="36">
        <v>1</v>
      </c>
      <c r="GB26" s="32">
        <v>1</v>
      </c>
      <c r="GC26" s="33">
        <f t="shared" si="22"/>
        <v>6.5</v>
      </c>
      <c r="GE26" s="34">
        <v>23</v>
      </c>
      <c r="GF26" s="32">
        <v>2</v>
      </c>
      <c r="GG26" s="32">
        <f>MEDIAN(3,2,2,3,3,3,2,3,3,2,2,3,3,3,3,3,2,2,2,3)</f>
        <v>3</v>
      </c>
      <c r="GH26" s="32">
        <v>2</v>
      </c>
      <c r="GI26" s="36">
        <v>3</v>
      </c>
      <c r="GJ26" s="32">
        <v>2</v>
      </c>
      <c r="GK26" s="33">
        <f t="shared" si="23"/>
        <v>12</v>
      </c>
      <c r="GM26" s="37">
        <v>23</v>
      </c>
      <c r="GN26" s="32">
        <v>0</v>
      </c>
      <c r="GO26" s="32">
        <f>MEDIAN(3,3,3,3,2,2,3,2,3,2,3,2,3)</f>
        <v>3</v>
      </c>
      <c r="GP26" s="32">
        <v>2</v>
      </c>
      <c r="GQ26" s="32">
        <v>1</v>
      </c>
      <c r="GR26" s="32">
        <v>0</v>
      </c>
      <c r="GS26" s="33">
        <f t="shared" si="24"/>
        <v>6</v>
      </c>
      <c r="GU26" s="34">
        <v>23</v>
      </c>
      <c r="GV26" s="32">
        <v>0</v>
      </c>
      <c r="GW26" s="32">
        <f>MEDIAN(3,3,3,3,3,3,3,3,3,3,3,3,3,3,3,3,2,2,3)</f>
        <v>3</v>
      </c>
      <c r="GX26" s="32">
        <v>2</v>
      </c>
      <c r="GY26" s="36">
        <v>1</v>
      </c>
      <c r="GZ26" s="32">
        <v>0</v>
      </c>
      <c r="HA26" s="33">
        <f t="shared" si="25"/>
        <v>6</v>
      </c>
      <c r="HC26" s="42">
        <v>23</v>
      </c>
      <c r="HD26" s="43"/>
      <c r="HE26" s="43"/>
      <c r="HF26" s="43"/>
      <c r="HG26" s="43"/>
      <c r="HH26" s="43"/>
      <c r="HI26" s="44"/>
      <c r="HK26" s="42">
        <v>23</v>
      </c>
      <c r="HL26" s="43"/>
      <c r="HM26" s="43"/>
      <c r="HN26" s="43"/>
      <c r="HO26" s="43"/>
      <c r="HP26" s="43"/>
      <c r="HQ26" s="44"/>
      <c r="HS26" s="37">
        <v>23</v>
      </c>
      <c r="HT26" s="32">
        <v>2</v>
      </c>
      <c r="HU26" s="32">
        <f>MEDIAN(3,3,3,3,3,3,3)</f>
        <v>3</v>
      </c>
      <c r="HV26" s="32">
        <v>2</v>
      </c>
      <c r="HW26" s="32">
        <v>1</v>
      </c>
      <c r="HX26" s="32">
        <v>0</v>
      </c>
      <c r="HY26" s="33">
        <f t="shared" si="28"/>
        <v>8</v>
      </c>
      <c r="IA26" s="37">
        <v>23</v>
      </c>
      <c r="IB26" s="32">
        <v>0</v>
      </c>
      <c r="IC26" s="32">
        <f>MEDIAN(3,3,3,2,3,3,3,3,3,3)</f>
        <v>3</v>
      </c>
      <c r="ID26" s="32">
        <v>3</v>
      </c>
      <c r="IE26" s="32">
        <v>1</v>
      </c>
      <c r="IF26" s="32">
        <v>0</v>
      </c>
      <c r="IG26" s="33">
        <f t="shared" si="29"/>
        <v>7</v>
      </c>
      <c r="II26" s="42">
        <v>23</v>
      </c>
      <c r="IJ26" s="43"/>
      <c r="IK26" s="43"/>
      <c r="IL26" s="43"/>
      <c r="IM26" s="43"/>
      <c r="IN26" s="43"/>
      <c r="IO26" s="44"/>
      <c r="IQ26" s="34">
        <v>23</v>
      </c>
      <c r="IR26" s="32">
        <v>0</v>
      </c>
      <c r="IS26" s="32">
        <f>MEDIAN(3,3,3,3,3)</f>
        <v>3</v>
      </c>
      <c r="IT26" s="32">
        <v>3</v>
      </c>
      <c r="IU26" s="32">
        <v>1</v>
      </c>
      <c r="IV26" s="32">
        <v>0</v>
      </c>
      <c r="IW26" s="33">
        <f t="shared" si="30"/>
        <v>7</v>
      </c>
      <c r="IY26" s="37">
        <v>23</v>
      </c>
      <c r="IZ26" s="32">
        <v>0</v>
      </c>
      <c r="JA26" s="32">
        <f>MEDIAN(3,3,2,3,3,3,2,3,3,2)</f>
        <v>3</v>
      </c>
      <c r="JB26" s="32">
        <v>3</v>
      </c>
      <c r="JC26" s="32">
        <v>1</v>
      </c>
      <c r="JD26" s="32">
        <v>1</v>
      </c>
      <c r="JE26" s="33">
        <f t="shared" si="31"/>
        <v>8</v>
      </c>
      <c r="JG26" s="42">
        <v>23</v>
      </c>
      <c r="JH26" s="43"/>
      <c r="JI26" s="43"/>
      <c r="JJ26" s="43"/>
      <c r="JK26" s="43"/>
      <c r="JL26" s="43"/>
      <c r="JM26" s="44"/>
      <c r="JO26" s="37">
        <v>23</v>
      </c>
      <c r="JP26" s="32">
        <v>1</v>
      </c>
      <c r="JQ26" s="32">
        <f>MEDIAN(2,2,1,2,2,2,3,3,2,3,2,2)</f>
        <v>2</v>
      </c>
      <c r="JR26" s="32">
        <v>3</v>
      </c>
      <c r="JS26" s="32">
        <v>1</v>
      </c>
      <c r="JT26" s="32">
        <v>1</v>
      </c>
      <c r="JU26" s="33">
        <f t="shared" si="33"/>
        <v>8</v>
      </c>
      <c r="JW26" s="37">
        <v>23</v>
      </c>
      <c r="JX26" s="32">
        <v>0</v>
      </c>
      <c r="JY26" s="32">
        <f>MEDIAN(3,3,3,3,3,3,3)</f>
        <v>3</v>
      </c>
      <c r="JZ26" s="32">
        <v>1</v>
      </c>
      <c r="KA26" s="32">
        <v>1</v>
      </c>
      <c r="KB26" s="32">
        <v>0</v>
      </c>
      <c r="KC26" s="33">
        <f t="shared" si="34"/>
        <v>5</v>
      </c>
      <c r="KE26" s="34">
        <v>23</v>
      </c>
      <c r="KF26" s="32">
        <v>0</v>
      </c>
      <c r="KG26" s="32">
        <f>MEDIAN(3,3,2,2,3,3,3,3,3,3,2,3)</f>
        <v>3</v>
      </c>
      <c r="KH26" s="32">
        <v>1</v>
      </c>
      <c r="KI26" s="32">
        <v>0</v>
      </c>
      <c r="KJ26" s="32">
        <v>1</v>
      </c>
      <c r="KK26" s="33">
        <f t="shared" si="35"/>
        <v>5</v>
      </c>
      <c r="KM26" s="37">
        <v>23</v>
      </c>
      <c r="KN26" s="32">
        <v>0</v>
      </c>
      <c r="KO26" s="32">
        <f>MEDIAN(3,3,2,2,3,3,3,3,3,3,3,3,3,3,2,3,3,3,2,2,3,3)</f>
        <v>3</v>
      </c>
      <c r="KP26" s="32">
        <v>2</v>
      </c>
      <c r="KQ26" s="32">
        <v>1</v>
      </c>
      <c r="KR26" s="32">
        <v>2</v>
      </c>
      <c r="KS26" s="33">
        <f t="shared" si="36"/>
        <v>8</v>
      </c>
      <c r="KU26" s="39">
        <v>23</v>
      </c>
      <c r="KV26" s="32">
        <v>1</v>
      </c>
      <c r="KW26" s="32">
        <f>MEDIAN(3,3,3,3,3,3,3,3)</f>
        <v>3</v>
      </c>
      <c r="KX26" s="32">
        <v>2</v>
      </c>
      <c r="KY26" s="32">
        <v>2</v>
      </c>
      <c r="KZ26" s="32">
        <v>1</v>
      </c>
      <c r="LA26" s="33">
        <f t="shared" si="37"/>
        <v>9</v>
      </c>
      <c r="LC26" s="42">
        <v>23</v>
      </c>
      <c r="LD26" s="43" t="s">
        <v>34</v>
      </c>
      <c r="LE26" s="43" t="s">
        <v>34</v>
      </c>
      <c r="LF26" s="43" t="s">
        <v>34</v>
      </c>
      <c r="LG26" s="43" t="s">
        <v>34</v>
      </c>
      <c r="LH26" s="43" t="s">
        <v>34</v>
      </c>
      <c r="LI26" s="44"/>
      <c r="LK26" s="42">
        <v>23</v>
      </c>
      <c r="LL26" s="43"/>
      <c r="LM26" s="43"/>
      <c r="LN26" s="43"/>
      <c r="LO26" s="43"/>
      <c r="LP26" s="43"/>
      <c r="LQ26" s="44"/>
    </row>
    <row r="27" spans="1:329" x14ac:dyDescent="0.35">
      <c r="A27" s="50">
        <v>24</v>
      </c>
      <c r="B27" s="51"/>
      <c r="C27" s="43"/>
      <c r="D27" s="43"/>
      <c r="E27" s="43"/>
      <c r="F27" s="43"/>
      <c r="G27" s="44"/>
      <c r="H27" s="14"/>
      <c r="J27" s="50">
        <v>24</v>
      </c>
      <c r="K27" s="51"/>
      <c r="L27" s="43"/>
      <c r="M27" s="43"/>
      <c r="N27" s="43"/>
      <c r="O27" s="43"/>
      <c r="P27" s="44"/>
      <c r="R27" s="28">
        <v>24</v>
      </c>
      <c r="S27" s="25">
        <v>0</v>
      </c>
      <c r="T27" s="26">
        <f>MEDIAN(3,3,3,3,3,3,3,3,3,3,2,2,3,3,3,3,3,3,3,2,3,2,2,2)</f>
        <v>3</v>
      </c>
      <c r="U27" s="26">
        <v>2</v>
      </c>
      <c r="V27" s="26">
        <v>1</v>
      </c>
      <c r="W27" s="26">
        <v>1</v>
      </c>
      <c r="X27" s="27">
        <f t="shared" si="2"/>
        <v>7</v>
      </c>
      <c r="Z27" s="50">
        <v>24</v>
      </c>
      <c r="AA27" s="51"/>
      <c r="AB27" s="43"/>
      <c r="AC27" s="43"/>
      <c r="AD27" s="43"/>
      <c r="AE27" s="43"/>
      <c r="AF27" s="44"/>
      <c r="AH27" s="28">
        <v>24</v>
      </c>
      <c r="AI27" s="25">
        <v>1</v>
      </c>
      <c r="AJ27" s="26">
        <f>MEDIAN(2,3,3,3,2,3,3,2,3,2,3,3,3,3,3,3,3,2,2,2,3)</f>
        <v>3</v>
      </c>
      <c r="AK27" s="26">
        <v>2</v>
      </c>
      <c r="AL27" s="26">
        <v>1</v>
      </c>
      <c r="AM27" s="26">
        <v>1</v>
      </c>
      <c r="AN27" s="27">
        <f t="shared" si="4"/>
        <v>8</v>
      </c>
      <c r="AP27" s="29">
        <v>24</v>
      </c>
      <c r="AQ27" s="25">
        <v>0</v>
      </c>
      <c r="AR27" s="26">
        <f>MEDIAN(2,3,2,2,3,3,3,2,2,3,3,3,2,2,3,3,3,2,2,2,3,2,3,2)</f>
        <v>2.5</v>
      </c>
      <c r="AS27" s="26">
        <v>3</v>
      </c>
      <c r="AT27" s="26">
        <v>3</v>
      </c>
      <c r="AU27" s="26">
        <v>2</v>
      </c>
      <c r="AV27" s="27">
        <f t="shared" si="5"/>
        <v>10.5</v>
      </c>
      <c r="AX27" s="29">
        <v>24</v>
      </c>
      <c r="AY27" s="25">
        <v>0</v>
      </c>
      <c r="AZ27" s="26">
        <f>MEDIAN(3,3,3,2,2,3,3,3,3,3,3,3,3,3,2,2)</f>
        <v>3</v>
      </c>
      <c r="BA27" s="26">
        <v>3</v>
      </c>
      <c r="BB27" s="26">
        <v>1</v>
      </c>
      <c r="BC27" s="26">
        <v>2</v>
      </c>
      <c r="BD27" s="27">
        <f t="shared" si="6"/>
        <v>9</v>
      </c>
      <c r="BF27" s="50">
        <v>24</v>
      </c>
      <c r="BG27" s="51"/>
      <c r="BH27" s="43"/>
      <c r="BI27" s="43"/>
      <c r="BJ27" s="43"/>
      <c r="BK27" s="43"/>
      <c r="BL27" s="44"/>
      <c r="BM27" s="14"/>
      <c r="BN27" s="50">
        <v>24</v>
      </c>
      <c r="BO27" s="51"/>
      <c r="BP27" s="43"/>
      <c r="BQ27" s="43"/>
      <c r="BR27" s="43"/>
      <c r="BS27" s="43"/>
      <c r="BT27" s="44"/>
      <c r="BU27" s="14"/>
      <c r="BV27" s="30">
        <v>24</v>
      </c>
      <c r="BW27" s="25">
        <v>0</v>
      </c>
      <c r="BX27" s="26">
        <f>MEDIAN(3,3,2,3,3,2,3,3,3,2,3)</f>
        <v>3</v>
      </c>
      <c r="BY27" s="26">
        <v>3</v>
      </c>
      <c r="BZ27" s="26">
        <v>1</v>
      </c>
      <c r="CA27" s="26">
        <v>0</v>
      </c>
      <c r="CB27" s="27">
        <f t="shared" si="9"/>
        <v>7</v>
      </c>
      <c r="CC27" s="14"/>
      <c r="CD27" s="50">
        <v>24</v>
      </c>
      <c r="CE27" s="51"/>
      <c r="CF27" s="43"/>
      <c r="CG27" s="43"/>
      <c r="CH27" s="43"/>
      <c r="CI27" s="43"/>
      <c r="CJ27" s="44"/>
      <c r="CK27" s="14"/>
      <c r="CL27" s="24">
        <v>24</v>
      </c>
      <c r="CM27" s="25">
        <v>0</v>
      </c>
      <c r="CN27" s="26">
        <f>MEDIAN(2,2,3,3,3,2,3,3,3,2,3,3,2,2,3,3,2,2,3,2,3,3,2,3,3)</f>
        <v>3</v>
      </c>
      <c r="CO27" s="26">
        <v>2</v>
      </c>
      <c r="CP27" s="26">
        <v>2</v>
      </c>
      <c r="CQ27" s="26">
        <v>2</v>
      </c>
      <c r="CR27" s="27">
        <f t="shared" si="11"/>
        <v>9</v>
      </c>
      <c r="CT27" s="30">
        <v>24</v>
      </c>
      <c r="CU27" s="25">
        <v>0</v>
      </c>
      <c r="CV27" s="26">
        <f>MEDIAN(3,3,3)</f>
        <v>3</v>
      </c>
      <c r="CW27" s="26">
        <v>2</v>
      </c>
      <c r="CX27" s="26">
        <v>1</v>
      </c>
      <c r="CY27" s="26">
        <v>1</v>
      </c>
      <c r="CZ27" s="27">
        <f t="shared" si="12"/>
        <v>7</v>
      </c>
      <c r="DB27" s="31">
        <v>24</v>
      </c>
      <c r="DC27" s="25">
        <v>0</v>
      </c>
      <c r="DD27" s="26">
        <f>MEDIAN(3,3,3,2,3,3,3,3,3,2,2)</f>
        <v>3</v>
      </c>
      <c r="DE27" s="26">
        <v>2</v>
      </c>
      <c r="DF27" s="26">
        <v>2</v>
      </c>
      <c r="DG27" s="26">
        <v>1</v>
      </c>
      <c r="DH27" s="27">
        <f t="shared" si="13"/>
        <v>8</v>
      </c>
      <c r="DJ27" s="29">
        <v>24</v>
      </c>
      <c r="DK27" s="25">
        <v>2</v>
      </c>
      <c r="DL27" s="26">
        <f>MEDIAN(3,3,3,3,3,3,3,3,3)</f>
        <v>3</v>
      </c>
      <c r="DM27" s="26">
        <v>3</v>
      </c>
      <c r="DN27" s="26">
        <v>3</v>
      </c>
      <c r="DO27" s="26">
        <v>2</v>
      </c>
      <c r="DP27" s="27">
        <f t="shared" si="14"/>
        <v>13</v>
      </c>
      <c r="DQ27" s="14"/>
      <c r="DR27" s="30">
        <v>24</v>
      </c>
      <c r="DS27" s="25">
        <v>1</v>
      </c>
      <c r="DT27" s="26">
        <f>MEDIAN(1,3,2,1,2,2,3,3,2,2,2,2,3,1,1)</f>
        <v>2</v>
      </c>
      <c r="DU27" s="26">
        <v>3</v>
      </c>
      <c r="DV27" s="26">
        <v>0</v>
      </c>
      <c r="DW27" s="26">
        <v>1</v>
      </c>
      <c r="DX27" s="27">
        <f t="shared" si="15"/>
        <v>7</v>
      </c>
      <c r="DY27" s="14"/>
      <c r="EA27" s="42">
        <v>24</v>
      </c>
      <c r="EB27" s="43"/>
      <c r="EC27" s="43"/>
      <c r="ED27" s="43"/>
      <c r="EE27" s="43"/>
      <c r="EF27" s="43"/>
      <c r="EG27" s="44"/>
      <c r="EI27" s="34">
        <v>24</v>
      </c>
      <c r="EJ27" s="32">
        <v>0</v>
      </c>
      <c r="EK27" s="32">
        <f>MEDIAN(3,3,3)</f>
        <v>3</v>
      </c>
      <c r="EL27" s="32">
        <v>3</v>
      </c>
      <c r="EM27" s="36" t="s">
        <v>31</v>
      </c>
      <c r="EN27" s="32">
        <v>2</v>
      </c>
      <c r="EO27" s="33">
        <f t="shared" si="18"/>
        <v>8</v>
      </c>
      <c r="EP27">
        <f>EO27*(5/4)</f>
        <v>10</v>
      </c>
      <c r="EQ27" s="42">
        <v>24</v>
      </c>
      <c r="ER27" s="43"/>
      <c r="ES27" s="43"/>
      <c r="ET27" s="43"/>
      <c r="EU27" s="43"/>
      <c r="EV27" s="43"/>
      <c r="EW27" s="44"/>
      <c r="EY27" s="34">
        <v>24</v>
      </c>
      <c r="EZ27" s="32">
        <v>1</v>
      </c>
      <c r="FA27" s="32">
        <f>MEDIAN(3,2,3,3,3,3,3,2,3,3,2,2,3,3,3,3)</f>
        <v>3</v>
      </c>
      <c r="FB27" s="32">
        <v>0</v>
      </c>
      <c r="FC27" s="36">
        <v>2</v>
      </c>
      <c r="FD27" s="32">
        <v>1</v>
      </c>
      <c r="FE27" s="33">
        <f t="shared" si="20"/>
        <v>7</v>
      </c>
      <c r="FG27" s="35">
        <v>24</v>
      </c>
      <c r="FH27" s="32">
        <v>2</v>
      </c>
      <c r="FI27" s="36">
        <f>MEDIAN(3,3,3,2,2,2,3,3,2,3)</f>
        <v>3</v>
      </c>
      <c r="FJ27" s="32">
        <v>2</v>
      </c>
      <c r="FK27" s="36">
        <v>2</v>
      </c>
      <c r="FL27" s="32">
        <v>1</v>
      </c>
      <c r="FM27" s="33">
        <f t="shared" si="40"/>
        <v>10</v>
      </c>
      <c r="FO27" s="37">
        <v>24</v>
      </c>
      <c r="FP27" s="32">
        <v>0</v>
      </c>
      <c r="FQ27" s="32">
        <f>MEDIAN(3,3,3,2,3,3,3,3,3)</f>
        <v>3</v>
      </c>
      <c r="FR27" s="32">
        <v>2</v>
      </c>
      <c r="FS27" s="36">
        <v>1</v>
      </c>
      <c r="FT27" s="32">
        <v>1</v>
      </c>
      <c r="FU27" s="33">
        <f t="shared" si="21"/>
        <v>7</v>
      </c>
      <c r="FW27" s="35">
        <v>24</v>
      </c>
      <c r="FX27" s="32">
        <v>1</v>
      </c>
      <c r="FY27" s="32">
        <f>MEDIAN(3,3,2,3,2,3,3,2,2,3,3,3,3,3,3,3,3,3,3,2,2,2,1,3,2,3,2,2,2,3,2)</f>
        <v>3</v>
      </c>
      <c r="FZ27" s="32">
        <v>3</v>
      </c>
      <c r="GA27" s="36">
        <v>2</v>
      </c>
      <c r="GB27" s="32">
        <v>2</v>
      </c>
      <c r="GC27" s="33">
        <f t="shared" si="22"/>
        <v>11</v>
      </c>
      <c r="GE27" s="34">
        <v>24</v>
      </c>
      <c r="GF27" s="32">
        <v>0</v>
      </c>
      <c r="GG27" s="32">
        <f>MEDIAN(3,3,2,2,3,2,3,3,2,2,3,3,2,3,3,3,3,3,3,2,2,2)</f>
        <v>3</v>
      </c>
      <c r="GH27" s="32">
        <v>3</v>
      </c>
      <c r="GI27" s="36">
        <v>1</v>
      </c>
      <c r="GJ27" s="32">
        <v>1</v>
      </c>
      <c r="GK27" s="33">
        <f t="shared" si="23"/>
        <v>8</v>
      </c>
      <c r="GM27" s="37">
        <v>24</v>
      </c>
      <c r="GN27" s="32">
        <v>1</v>
      </c>
      <c r="GO27" s="32">
        <f>MEDIAN(2,2,3,2,2,3,2,2,2,2)</f>
        <v>2</v>
      </c>
      <c r="GP27" s="32">
        <v>1</v>
      </c>
      <c r="GQ27" s="32">
        <v>1</v>
      </c>
      <c r="GR27" s="32">
        <v>1</v>
      </c>
      <c r="GS27" s="33">
        <f t="shared" si="24"/>
        <v>6</v>
      </c>
      <c r="GU27" s="34">
        <v>24</v>
      </c>
      <c r="GV27" s="32">
        <v>2</v>
      </c>
      <c r="GW27" s="32">
        <f>MEDIAN(3,3,3,3,3,3,3,2,2,2,2,3,3,3)</f>
        <v>3</v>
      </c>
      <c r="GX27" s="32">
        <v>2</v>
      </c>
      <c r="GY27" s="36" t="s">
        <v>31</v>
      </c>
      <c r="GZ27" s="32">
        <v>1</v>
      </c>
      <c r="HA27" s="33">
        <f t="shared" si="25"/>
        <v>8</v>
      </c>
      <c r="HB27">
        <f>HA27*(5/4)</f>
        <v>10</v>
      </c>
      <c r="HC27" s="42">
        <v>24</v>
      </c>
      <c r="HD27" s="43"/>
      <c r="HE27" s="43"/>
      <c r="HF27" s="43"/>
      <c r="HG27" s="43"/>
      <c r="HH27" s="43"/>
      <c r="HI27" s="44"/>
      <c r="HK27" s="42">
        <v>24</v>
      </c>
      <c r="HL27" s="43"/>
      <c r="HM27" s="43"/>
      <c r="HN27" s="43"/>
      <c r="HO27" s="43"/>
      <c r="HP27" s="43"/>
      <c r="HQ27" s="44"/>
      <c r="HS27" s="34">
        <v>24</v>
      </c>
      <c r="HT27" s="32">
        <v>1</v>
      </c>
      <c r="HU27" s="32">
        <f>MEDIAN(2,3,2,2,3,3,3,3,2,3,2,3,3,3)</f>
        <v>3</v>
      </c>
      <c r="HV27" s="32">
        <v>2</v>
      </c>
      <c r="HW27" s="32">
        <v>1</v>
      </c>
      <c r="HX27" s="32">
        <v>1</v>
      </c>
      <c r="HY27" s="33">
        <f t="shared" si="28"/>
        <v>8</v>
      </c>
      <c r="IA27" s="34">
        <v>24</v>
      </c>
      <c r="IB27" s="32">
        <v>0</v>
      </c>
      <c r="IC27" s="32">
        <f>MEDIAN(3,3,3,3,3,3,2,2,2,3,3,3,2)</f>
        <v>3</v>
      </c>
      <c r="ID27" s="32">
        <v>3</v>
      </c>
      <c r="IE27" s="32">
        <v>1</v>
      </c>
      <c r="IF27" s="32">
        <v>0</v>
      </c>
      <c r="IG27" s="33">
        <f t="shared" si="29"/>
        <v>7</v>
      </c>
      <c r="II27" s="42">
        <v>24</v>
      </c>
      <c r="IJ27" s="43"/>
      <c r="IK27" s="43"/>
      <c r="IL27" s="43"/>
      <c r="IM27" s="43"/>
      <c r="IN27" s="43"/>
      <c r="IO27" s="44"/>
      <c r="IQ27" s="37">
        <v>24</v>
      </c>
      <c r="IR27" s="32">
        <v>0</v>
      </c>
      <c r="IS27" s="32">
        <f>MEDIAN(2,2,3,3,3,2)</f>
        <v>2.5</v>
      </c>
      <c r="IT27" s="32">
        <v>3</v>
      </c>
      <c r="IU27" s="32">
        <v>1</v>
      </c>
      <c r="IV27" s="32">
        <v>1</v>
      </c>
      <c r="IW27" s="33">
        <f t="shared" si="30"/>
        <v>7.5</v>
      </c>
      <c r="IY27" s="37">
        <v>24</v>
      </c>
      <c r="IZ27" s="32">
        <v>1</v>
      </c>
      <c r="JA27" s="32">
        <f>MEDIAN(2,3,3,2,3,2,3,2,3,3,2,3)</f>
        <v>3</v>
      </c>
      <c r="JB27" s="32">
        <v>2</v>
      </c>
      <c r="JC27" s="32">
        <v>1</v>
      </c>
      <c r="JD27" s="32">
        <v>1</v>
      </c>
      <c r="JE27" s="33">
        <f t="shared" si="31"/>
        <v>8</v>
      </c>
      <c r="JG27" s="42">
        <v>24</v>
      </c>
      <c r="JH27" s="43"/>
      <c r="JI27" s="43"/>
      <c r="JJ27" s="43"/>
      <c r="JK27" s="43"/>
      <c r="JL27" s="43"/>
      <c r="JM27" s="44"/>
      <c r="JO27" s="34">
        <v>24</v>
      </c>
      <c r="JP27" s="32">
        <v>1</v>
      </c>
      <c r="JQ27" s="32">
        <f>MEDIAN(3,2,3,2,3,3,3,3,3,3,2,2,3,3,2,3,2,3,3,3,2,2,2,3,3)</f>
        <v>3</v>
      </c>
      <c r="JR27" s="32">
        <v>2</v>
      </c>
      <c r="JS27" s="32">
        <v>0</v>
      </c>
      <c r="JT27" s="32">
        <v>1</v>
      </c>
      <c r="JU27" s="33">
        <f t="shared" si="33"/>
        <v>7</v>
      </c>
      <c r="JW27" s="34">
        <v>24</v>
      </c>
      <c r="JX27" s="32">
        <v>1</v>
      </c>
      <c r="JY27" s="32">
        <f>MEDIAN(3,3,3,3,3,3,3,3,3,3,3,3,3,3,2,2,3,3,3,2,3,3,3)</f>
        <v>3</v>
      </c>
      <c r="JZ27" s="32">
        <v>3</v>
      </c>
      <c r="KA27" s="32">
        <v>0</v>
      </c>
      <c r="KB27" s="32">
        <v>0</v>
      </c>
      <c r="KC27" s="33">
        <f t="shared" si="34"/>
        <v>7</v>
      </c>
      <c r="KE27" s="34">
        <v>24</v>
      </c>
      <c r="KF27" s="32">
        <v>0</v>
      </c>
      <c r="KG27" s="32">
        <f>MEDIAN(3,3,3,3,2,3,3,3,3,2,2,2,3,3,3,2,3,3,3,3,3,3,3,3,3,3,2,3,3)</f>
        <v>3</v>
      </c>
      <c r="KH27" s="32">
        <v>1</v>
      </c>
      <c r="KI27" s="32">
        <v>0</v>
      </c>
      <c r="KJ27" s="32">
        <v>1</v>
      </c>
      <c r="KK27" s="33">
        <f t="shared" si="35"/>
        <v>5</v>
      </c>
      <c r="KM27" s="37">
        <v>24</v>
      </c>
      <c r="KN27" s="32">
        <v>2</v>
      </c>
      <c r="KO27" s="32">
        <f>MEDIAN(2,2,2,2)</f>
        <v>2</v>
      </c>
      <c r="KP27" s="32">
        <v>2</v>
      </c>
      <c r="KQ27" s="32">
        <v>3</v>
      </c>
      <c r="KR27" s="32">
        <v>3</v>
      </c>
      <c r="KS27" s="33">
        <f t="shared" si="36"/>
        <v>12</v>
      </c>
      <c r="KU27" s="37">
        <v>24</v>
      </c>
      <c r="KV27" s="32">
        <v>1</v>
      </c>
      <c r="KW27" s="32">
        <f>MEDIAN(2,3,3,3,2,3,3,3,3,2,3,1,2,2,2,3,2,2,3,1,2)</f>
        <v>2</v>
      </c>
      <c r="KX27" s="32">
        <v>2</v>
      </c>
      <c r="KY27" s="32">
        <v>2</v>
      </c>
      <c r="KZ27" s="32">
        <v>1</v>
      </c>
      <c r="LA27" s="33">
        <f t="shared" si="37"/>
        <v>8</v>
      </c>
      <c r="LC27" s="37">
        <v>24</v>
      </c>
      <c r="LD27" s="32">
        <v>1</v>
      </c>
      <c r="LE27">
        <f>MEDIAN(3,3,3,3,2,3,3,3,3,3,2)</f>
        <v>3</v>
      </c>
      <c r="LF27" s="32">
        <v>2</v>
      </c>
      <c r="LG27" s="32">
        <v>3</v>
      </c>
      <c r="LH27" s="32">
        <v>2</v>
      </c>
      <c r="LI27" s="33">
        <f t="shared" si="38"/>
        <v>11</v>
      </c>
      <c r="LK27" s="42">
        <v>24</v>
      </c>
      <c r="LL27" s="43"/>
      <c r="LM27" s="43"/>
      <c r="LN27" s="43"/>
      <c r="LO27" s="43"/>
      <c r="LP27" s="43"/>
      <c r="LQ27" s="44"/>
    </row>
    <row r="28" spans="1:329" ht="15" thickBot="1" x14ac:dyDescent="0.4">
      <c r="A28" s="61">
        <v>25</v>
      </c>
      <c r="B28" s="62"/>
      <c r="C28" s="63"/>
      <c r="D28" s="63"/>
      <c r="E28" s="63"/>
      <c r="F28" s="63"/>
      <c r="G28" s="44"/>
      <c r="H28" s="14"/>
      <c r="J28" s="61">
        <v>25</v>
      </c>
      <c r="K28" s="62"/>
      <c r="L28" s="63"/>
      <c r="M28" s="63"/>
      <c r="N28" s="63"/>
      <c r="O28" s="63"/>
      <c r="P28" s="44"/>
      <c r="R28" s="64">
        <v>25</v>
      </c>
      <c r="S28" s="52">
        <v>0</v>
      </c>
      <c r="T28" s="54">
        <f>MEDIAN(1,1,3,2,2,2,1,2,2,2,1,2,2,3,1,2)</f>
        <v>2</v>
      </c>
      <c r="U28" s="54">
        <v>1</v>
      </c>
      <c r="V28" s="54">
        <v>0</v>
      </c>
      <c r="W28" s="54">
        <v>0</v>
      </c>
      <c r="X28" s="27">
        <f t="shared" si="2"/>
        <v>3</v>
      </c>
      <c r="Z28" s="61">
        <v>25</v>
      </c>
      <c r="AA28" s="62"/>
      <c r="AB28" s="63"/>
      <c r="AC28" s="63"/>
      <c r="AD28" s="63"/>
      <c r="AE28" s="63"/>
      <c r="AF28" s="44"/>
      <c r="AH28" s="65">
        <v>25</v>
      </c>
      <c r="AI28" s="52">
        <v>1</v>
      </c>
      <c r="AJ28" s="54">
        <f>MEDIAN(2,3,3,3,2,2,2,2,3,3,3,2,2,1)</f>
        <v>2</v>
      </c>
      <c r="AK28" s="54">
        <v>2</v>
      </c>
      <c r="AL28" s="54">
        <v>1</v>
      </c>
      <c r="AM28" s="54">
        <v>1</v>
      </c>
      <c r="AN28" s="27">
        <f t="shared" si="4"/>
        <v>7</v>
      </c>
      <c r="AP28" s="61">
        <v>25</v>
      </c>
      <c r="AQ28" s="62"/>
      <c r="AR28" s="63"/>
      <c r="AS28" s="63"/>
      <c r="AT28" s="63"/>
      <c r="AU28" s="63"/>
      <c r="AV28" s="44"/>
      <c r="AX28" s="64">
        <v>25</v>
      </c>
      <c r="AY28" s="52">
        <v>1</v>
      </c>
      <c r="AZ28" s="54">
        <f>MEDIAN(3,3,2,3,3,3,3,3,33,3)</f>
        <v>3</v>
      </c>
      <c r="BA28" s="54">
        <v>2</v>
      </c>
      <c r="BB28" s="54">
        <v>1</v>
      </c>
      <c r="BC28" s="54">
        <v>1</v>
      </c>
      <c r="BD28" s="27">
        <f t="shared" si="6"/>
        <v>8</v>
      </c>
      <c r="BF28" s="61">
        <v>25</v>
      </c>
      <c r="BG28" s="62"/>
      <c r="BH28" s="63"/>
      <c r="BI28" s="63"/>
      <c r="BJ28" s="63"/>
      <c r="BK28" s="63"/>
      <c r="BL28" s="44"/>
      <c r="BM28" s="14"/>
      <c r="BN28" s="61">
        <v>25</v>
      </c>
      <c r="BO28" s="62"/>
      <c r="BP28" s="63"/>
      <c r="BQ28" s="63"/>
      <c r="BR28" s="63"/>
      <c r="BS28" s="63"/>
      <c r="BT28" s="44"/>
      <c r="BU28" s="14"/>
      <c r="BV28" s="64">
        <v>25</v>
      </c>
      <c r="BW28" s="52">
        <v>0</v>
      </c>
      <c r="BX28" s="54">
        <f>MEDIAN(2,2,2,3,3,3,2,2,3)</f>
        <v>2</v>
      </c>
      <c r="BY28" s="54">
        <v>2</v>
      </c>
      <c r="BZ28" s="54">
        <v>1</v>
      </c>
      <c r="CA28" s="54">
        <v>1</v>
      </c>
      <c r="CB28" s="27">
        <f t="shared" si="9"/>
        <v>6</v>
      </c>
      <c r="CC28" s="14"/>
      <c r="CD28" s="61">
        <v>25</v>
      </c>
      <c r="CE28" s="62"/>
      <c r="CF28" s="63"/>
      <c r="CG28" s="63"/>
      <c r="CH28" s="63"/>
      <c r="CI28" s="63"/>
      <c r="CJ28" s="44"/>
      <c r="CK28" s="14"/>
      <c r="CL28" s="66">
        <v>25</v>
      </c>
      <c r="CM28" s="52">
        <v>1</v>
      </c>
      <c r="CN28" s="54">
        <f>MEDIAN(2,2,3,3,3,3,2)</f>
        <v>3</v>
      </c>
      <c r="CO28" s="54">
        <v>2</v>
      </c>
      <c r="CP28" s="54">
        <v>2</v>
      </c>
      <c r="CQ28" s="54">
        <v>2</v>
      </c>
      <c r="CR28" s="27">
        <f t="shared" si="11"/>
        <v>10</v>
      </c>
      <c r="CT28" s="64">
        <v>25</v>
      </c>
      <c r="CU28" s="52">
        <v>0</v>
      </c>
      <c r="CV28" s="54">
        <f>MEDIAN(2,3,2,3,3,3,3,2)</f>
        <v>3</v>
      </c>
      <c r="CW28" s="54">
        <v>2</v>
      </c>
      <c r="CX28" s="54">
        <v>1</v>
      </c>
      <c r="CY28" s="54">
        <v>1</v>
      </c>
      <c r="CZ28" s="27">
        <f t="shared" si="12"/>
        <v>7</v>
      </c>
      <c r="DB28" s="64">
        <v>25</v>
      </c>
      <c r="DC28" s="52">
        <v>0</v>
      </c>
      <c r="DD28" s="54">
        <f>MEDIAN(3,2,3,3,3,3,2,2,3,3)</f>
        <v>3</v>
      </c>
      <c r="DE28" s="54">
        <v>2</v>
      </c>
      <c r="DF28" s="54">
        <v>1</v>
      </c>
      <c r="DG28" s="54">
        <v>1</v>
      </c>
      <c r="DH28" s="27">
        <f t="shared" si="13"/>
        <v>7</v>
      </c>
      <c r="DJ28" s="64">
        <v>25</v>
      </c>
      <c r="DK28" s="52">
        <v>2</v>
      </c>
      <c r="DL28" s="54">
        <f>MEDIAN(3,3,3,3,3,3,3,3,3,3)</f>
        <v>3</v>
      </c>
      <c r="DM28" s="54">
        <v>3</v>
      </c>
      <c r="DN28" s="54">
        <v>3</v>
      </c>
      <c r="DO28" s="54">
        <v>1</v>
      </c>
      <c r="DP28" s="27">
        <f t="shared" si="14"/>
        <v>12</v>
      </c>
      <c r="DQ28" s="14"/>
      <c r="DR28" s="64">
        <v>25</v>
      </c>
      <c r="DS28" s="52">
        <v>1</v>
      </c>
      <c r="DT28" s="54">
        <f>MEDIAN(3,3,3,3,3,2,2,3,3,3,3,2,3,3,)</f>
        <v>3</v>
      </c>
      <c r="DU28" s="54">
        <v>2</v>
      </c>
      <c r="DV28" s="54">
        <v>1</v>
      </c>
      <c r="DW28" s="54">
        <v>0</v>
      </c>
      <c r="DX28" s="27">
        <f t="shared" si="15"/>
        <v>7</v>
      </c>
      <c r="DY28" s="14"/>
      <c r="EA28" s="67">
        <v>25</v>
      </c>
      <c r="EB28" s="63"/>
      <c r="EC28" s="63"/>
      <c r="ED28" s="63"/>
      <c r="EE28" s="63"/>
      <c r="EF28" s="63"/>
      <c r="EG28" s="68"/>
      <c r="EI28" s="69">
        <v>25</v>
      </c>
      <c r="EJ28" s="53">
        <v>0</v>
      </c>
      <c r="EK28" s="53">
        <f>MEDIAN(3,3,3,3,3,3,3,3)</f>
        <v>3</v>
      </c>
      <c r="EL28" s="53">
        <v>3</v>
      </c>
      <c r="EM28" s="70" t="s">
        <v>31</v>
      </c>
      <c r="EN28" s="53">
        <v>1</v>
      </c>
      <c r="EO28" s="71">
        <f t="shared" si="18"/>
        <v>7</v>
      </c>
      <c r="EP28">
        <f>EO28*(5/4)</f>
        <v>8.75</v>
      </c>
      <c r="EQ28" s="67">
        <v>25</v>
      </c>
      <c r="ER28" s="63"/>
      <c r="ES28" s="63"/>
      <c r="ET28" s="63"/>
      <c r="EU28" s="63"/>
      <c r="EV28" s="63"/>
      <c r="EW28" s="68"/>
      <c r="EY28" s="72">
        <v>25</v>
      </c>
      <c r="EZ28" s="53">
        <v>0</v>
      </c>
      <c r="FA28" s="53">
        <f>MEDIAN(3,3,3,3,2,3,3,3,3,3,3,3,3)</f>
        <v>3</v>
      </c>
      <c r="FB28" s="53">
        <v>2</v>
      </c>
      <c r="FC28" s="70">
        <v>1</v>
      </c>
      <c r="FD28" s="53">
        <v>0</v>
      </c>
      <c r="FE28" s="71">
        <f t="shared" si="20"/>
        <v>6</v>
      </c>
      <c r="FG28" s="73">
        <v>25</v>
      </c>
      <c r="FH28" s="53">
        <v>2</v>
      </c>
      <c r="FI28" s="70">
        <f>MEDIAN(3,3,3,3,2,3,3,3)</f>
        <v>3</v>
      </c>
      <c r="FJ28" s="53">
        <v>3</v>
      </c>
      <c r="FK28" s="70">
        <v>2</v>
      </c>
      <c r="FL28" s="53">
        <v>1</v>
      </c>
      <c r="FM28" s="33">
        <f t="shared" si="40"/>
        <v>11</v>
      </c>
      <c r="FO28" s="72">
        <v>25</v>
      </c>
      <c r="FP28" s="53">
        <v>2</v>
      </c>
      <c r="FQ28" s="53">
        <f>MEDIAN(3,3,2,2,3,3,3)</f>
        <v>3</v>
      </c>
      <c r="FR28" s="53">
        <v>2</v>
      </c>
      <c r="FS28" s="70">
        <v>3</v>
      </c>
      <c r="FT28" s="53">
        <v>2</v>
      </c>
      <c r="FU28" s="71">
        <f t="shared" si="21"/>
        <v>12</v>
      </c>
      <c r="FW28" s="72">
        <v>25</v>
      </c>
      <c r="FX28" s="53">
        <v>2</v>
      </c>
      <c r="FY28" s="53">
        <f>MEDIAN(2,2,3,3,2,2,3,3,2,3,2,3,3,3)</f>
        <v>3</v>
      </c>
      <c r="FZ28" s="53">
        <v>2</v>
      </c>
      <c r="GA28" s="70">
        <v>3</v>
      </c>
      <c r="GB28" s="53">
        <v>2</v>
      </c>
      <c r="GC28" s="71">
        <f t="shared" si="22"/>
        <v>12</v>
      </c>
      <c r="GE28" s="69">
        <v>25</v>
      </c>
      <c r="GF28" s="53">
        <v>2</v>
      </c>
      <c r="GG28" s="53">
        <f>MEDIAN(3,3,3,3,2,3,3,3,2,3,3,2,3,3,3,2,3,3,3,3,3)</f>
        <v>3</v>
      </c>
      <c r="GH28" s="53">
        <v>3</v>
      </c>
      <c r="GI28" s="70">
        <v>3</v>
      </c>
      <c r="GJ28" s="53">
        <v>3</v>
      </c>
      <c r="GK28" s="71">
        <f t="shared" si="23"/>
        <v>14</v>
      </c>
      <c r="GM28" s="72">
        <v>25</v>
      </c>
      <c r="GN28" s="53">
        <v>0</v>
      </c>
      <c r="GO28" s="53">
        <f>MEDIAN(2,2,3,2,3,2,3,3,2,2,3)</f>
        <v>2</v>
      </c>
      <c r="GP28" s="53">
        <v>2</v>
      </c>
      <c r="GQ28" s="53">
        <v>1</v>
      </c>
      <c r="GR28" s="53">
        <v>1</v>
      </c>
      <c r="GS28" s="71">
        <f t="shared" si="24"/>
        <v>6</v>
      </c>
      <c r="GU28" s="69">
        <v>25</v>
      </c>
      <c r="GV28" s="53">
        <v>1</v>
      </c>
      <c r="GW28" s="53">
        <f>MEDIAN(3,3,3,3,3,3,3,3,3,3,3,3,2,2,3,3,3,3,3,3,3,3)</f>
        <v>3</v>
      </c>
      <c r="GX28" s="53">
        <v>3</v>
      </c>
      <c r="GY28" s="70" t="s">
        <v>31</v>
      </c>
      <c r="GZ28" s="53">
        <v>1</v>
      </c>
      <c r="HA28" s="71">
        <f t="shared" si="25"/>
        <v>8</v>
      </c>
      <c r="HB28">
        <f>HA28*(5/4)</f>
        <v>10</v>
      </c>
      <c r="HC28" s="67">
        <v>25</v>
      </c>
      <c r="HD28" s="63"/>
      <c r="HE28" s="63"/>
      <c r="HF28" s="63"/>
      <c r="HG28" s="63"/>
      <c r="HH28" s="63"/>
      <c r="HI28" s="68"/>
      <c r="HK28" s="67">
        <v>25</v>
      </c>
      <c r="HL28" s="63"/>
      <c r="HM28" s="63"/>
      <c r="HN28" s="63"/>
      <c r="HO28" s="63"/>
      <c r="HP28" s="63"/>
      <c r="HQ28" s="68"/>
      <c r="HS28" s="72">
        <v>25</v>
      </c>
      <c r="HT28" s="53">
        <v>1</v>
      </c>
      <c r="HU28" s="53">
        <v>3</v>
      </c>
      <c r="HV28" s="53">
        <v>3</v>
      </c>
      <c r="HW28" s="53">
        <v>0</v>
      </c>
      <c r="HX28" s="53">
        <v>2</v>
      </c>
      <c r="HY28" s="71">
        <f t="shared" si="28"/>
        <v>9</v>
      </c>
      <c r="IA28" s="72">
        <v>25</v>
      </c>
      <c r="IB28" s="53">
        <v>0</v>
      </c>
      <c r="IC28" s="53">
        <f>MEDIAN(3,2,3,3,3,3,3,3,2,3,3,2,3,3,3,3,3,2,3,3,3,2)</f>
        <v>3</v>
      </c>
      <c r="ID28" s="53">
        <v>3</v>
      </c>
      <c r="IE28" s="53">
        <v>1</v>
      </c>
      <c r="IF28" s="53">
        <v>1</v>
      </c>
      <c r="IG28" s="71">
        <f t="shared" si="29"/>
        <v>8</v>
      </c>
      <c r="II28" s="67">
        <v>25</v>
      </c>
      <c r="IJ28" s="63"/>
      <c r="IK28" s="63"/>
      <c r="IL28" s="63"/>
      <c r="IM28" s="63"/>
      <c r="IN28" s="63"/>
      <c r="IO28" s="68"/>
      <c r="IQ28" s="72">
        <v>25</v>
      </c>
      <c r="IR28" s="53">
        <v>0</v>
      </c>
      <c r="IS28" s="53">
        <f>MEDIAN(3,3,3)</f>
        <v>3</v>
      </c>
      <c r="IT28" s="53">
        <v>2</v>
      </c>
      <c r="IU28" s="53">
        <v>0</v>
      </c>
      <c r="IV28" s="53">
        <v>0</v>
      </c>
      <c r="IW28" s="71">
        <f t="shared" si="30"/>
        <v>5</v>
      </c>
      <c r="IY28" s="72">
        <v>25</v>
      </c>
      <c r="IZ28" s="53">
        <v>0</v>
      </c>
      <c r="JA28" s="53">
        <f>MEDIAN(3,2,2,3,3,2,3)</f>
        <v>3</v>
      </c>
      <c r="JB28" s="53">
        <v>2</v>
      </c>
      <c r="JC28" s="53">
        <v>0</v>
      </c>
      <c r="JD28" s="53">
        <v>1</v>
      </c>
      <c r="JE28" s="71">
        <f t="shared" si="31"/>
        <v>6</v>
      </c>
      <c r="JG28" s="67">
        <v>25</v>
      </c>
      <c r="JH28" s="63"/>
      <c r="JI28" s="63"/>
      <c r="JJ28" s="63"/>
      <c r="JK28" s="63"/>
      <c r="JL28" s="63"/>
      <c r="JM28" s="68"/>
      <c r="JO28" s="74">
        <v>25</v>
      </c>
      <c r="JP28" s="53">
        <v>1</v>
      </c>
      <c r="JQ28" s="53">
        <f>MEDIAN(3,3,3,3,3,3,3,3,2,3,2,3,3,2,2,3,2,3,2)</f>
        <v>3</v>
      </c>
      <c r="JR28" s="53">
        <v>2</v>
      </c>
      <c r="JS28" s="53">
        <v>3</v>
      </c>
      <c r="JT28" s="53">
        <v>0</v>
      </c>
      <c r="JU28" s="71">
        <f t="shared" si="33"/>
        <v>9</v>
      </c>
      <c r="JW28" s="69">
        <v>25</v>
      </c>
      <c r="JX28" s="53">
        <v>0</v>
      </c>
      <c r="JY28" s="53">
        <f>MEDIAN(2,3,3,3,2,3,3,2,2,3,3,2,3)</f>
        <v>3</v>
      </c>
      <c r="JZ28" s="53">
        <v>3</v>
      </c>
      <c r="KA28" s="53">
        <v>0</v>
      </c>
      <c r="KB28" s="53">
        <v>1</v>
      </c>
      <c r="KC28" s="71">
        <f t="shared" si="34"/>
        <v>7</v>
      </c>
      <c r="KE28" s="72">
        <v>25</v>
      </c>
      <c r="KF28" s="53">
        <v>1</v>
      </c>
      <c r="KG28" s="53">
        <f>MEDIAN(2,3,3,3,3,3,3,3,3,3,3,2,2,3,2)</f>
        <v>3</v>
      </c>
      <c r="KH28" s="53">
        <v>1</v>
      </c>
      <c r="KI28" s="53">
        <v>2</v>
      </c>
      <c r="KJ28" s="53">
        <v>1</v>
      </c>
      <c r="KK28" s="71">
        <f t="shared" si="35"/>
        <v>8</v>
      </c>
      <c r="KM28" s="72">
        <v>25</v>
      </c>
      <c r="KN28" s="53">
        <v>0</v>
      </c>
      <c r="KO28" s="53">
        <f>MEDIAN(3,3,3,3,3,3,3,3,3)</f>
        <v>3</v>
      </c>
      <c r="KP28" s="53">
        <v>2</v>
      </c>
      <c r="KQ28" s="53">
        <v>1</v>
      </c>
      <c r="KR28" s="53">
        <v>1</v>
      </c>
      <c r="KS28" s="71">
        <f t="shared" si="36"/>
        <v>7</v>
      </c>
      <c r="KU28" s="72">
        <v>25</v>
      </c>
      <c r="KV28" s="53">
        <v>0</v>
      </c>
      <c r="KW28" s="53">
        <f>MEDIAN(3,3,3,3,2,2,3)</f>
        <v>3</v>
      </c>
      <c r="KX28" s="53">
        <v>3</v>
      </c>
      <c r="KY28" s="53">
        <v>1</v>
      </c>
      <c r="KZ28" s="53">
        <v>1</v>
      </c>
      <c r="LA28" s="71">
        <f t="shared" si="37"/>
        <v>8</v>
      </c>
      <c r="LC28" s="72">
        <v>25</v>
      </c>
      <c r="LD28" s="53">
        <v>2</v>
      </c>
      <c r="LE28" s="53">
        <f>MEDIAN(3,3,3,3,3,2,2)</f>
        <v>3</v>
      </c>
      <c r="LF28" s="53">
        <v>3</v>
      </c>
      <c r="LG28" s="70" t="s">
        <v>31</v>
      </c>
      <c r="LH28" s="53">
        <v>3</v>
      </c>
      <c r="LI28" s="71">
        <f t="shared" si="38"/>
        <v>11</v>
      </c>
      <c r="LJ28">
        <f t="shared" si="41"/>
        <v>13.75</v>
      </c>
      <c r="LK28" s="67">
        <v>25</v>
      </c>
      <c r="LL28" s="63"/>
      <c r="LM28" s="63"/>
      <c r="LN28" s="63"/>
      <c r="LO28" s="63"/>
      <c r="LP28" s="63"/>
      <c r="LQ28" s="68"/>
    </row>
    <row r="29" spans="1:329" x14ac:dyDescent="0.35">
      <c r="B29">
        <f>AVERAGE(B4:B28)</f>
        <v>1.0909090909090908</v>
      </c>
      <c r="C29">
        <f>AVERAGE(C4:C28)</f>
        <v>2.7727272727272729</v>
      </c>
      <c r="D29">
        <f>AVERAGE(D4:D28)</f>
        <v>2</v>
      </c>
      <c r="E29">
        <f>AVERAGE(E4:E28)</f>
        <v>2.5555555555555554</v>
      </c>
      <c r="F29">
        <f>AVERAGE(F4:F28)</f>
        <v>2.3636363636363638</v>
      </c>
      <c r="G29">
        <f>SUM(B29:F29)</f>
        <v>10.782828282828282</v>
      </c>
      <c r="H29" s="14"/>
      <c r="K29">
        <f>AVERAGE(K4:K28)</f>
        <v>1.6</v>
      </c>
      <c r="L29">
        <f>AVERAGE(L4:L28)</f>
        <v>2.7</v>
      </c>
      <c r="M29">
        <f>AVERAGE(M4:M28)</f>
        <v>2.25</v>
      </c>
      <c r="N29">
        <f>AVERAGE(N4:N28)</f>
        <v>2.6111111111111112</v>
      </c>
      <c r="O29">
        <f>AVERAGE(O4:O28)</f>
        <v>1.7</v>
      </c>
      <c r="P29">
        <f>SUM(K29:O29)</f>
        <v>10.861111111111111</v>
      </c>
      <c r="S29">
        <f>AVERAGE(S4:S28)</f>
        <v>1.2</v>
      </c>
      <c r="T29">
        <f>AVERAGE(T4:T28)</f>
        <v>2.56</v>
      </c>
      <c r="U29">
        <f>AVERAGE(U4:U28)</f>
        <v>2.3199999999999998</v>
      </c>
      <c r="V29">
        <f>AVERAGE(V4:V28)</f>
        <v>1.6666666666666667</v>
      </c>
      <c r="W29">
        <f>AVERAGE(W4:W28)</f>
        <v>1.64</v>
      </c>
      <c r="X29">
        <f>SUM(S29:W29)</f>
        <v>9.3866666666666667</v>
      </c>
      <c r="AA29">
        <f>AVERAGE(AA4:AA28)</f>
        <v>1.75</v>
      </c>
      <c r="AB29">
        <f>AVERAGE(AB4:AB28)</f>
        <v>2.15625</v>
      </c>
      <c r="AC29">
        <f>AVERAGE(AC4:AC28)</f>
        <v>1.75</v>
      </c>
      <c r="AD29">
        <f>AVERAGE(AD4:AD28)</f>
        <v>2.75</v>
      </c>
      <c r="AE29">
        <f>AVERAGE(AE4:AE28)</f>
        <v>1.1875</v>
      </c>
      <c r="AF29">
        <f>SUM(AA29:AE29)</f>
        <v>9.59375</v>
      </c>
      <c r="AI29">
        <f>AVERAGE(AI4:AI28)</f>
        <v>1.36</v>
      </c>
      <c r="AJ29">
        <f>AVERAGE(AJ4:AJ28)</f>
        <v>2.68</v>
      </c>
      <c r="AK29">
        <f>AVERAGE(AK4:AK28)</f>
        <v>2.3199999999999998</v>
      </c>
      <c r="AL29">
        <f>AVERAGE(AL4:AL28)</f>
        <v>1.3</v>
      </c>
      <c r="AM29">
        <f>AVERAGE(AM4:AM28)</f>
        <v>1.2</v>
      </c>
      <c r="AN29">
        <f>SUM(AI29:AM29)</f>
        <v>8.86</v>
      </c>
      <c r="AQ29">
        <f>AVERAGE(AQ4:AQ28)</f>
        <v>0.875</v>
      </c>
      <c r="AR29">
        <f>AVERAGE(AR4:AR28)</f>
        <v>2.4130434782608696</v>
      </c>
      <c r="AS29">
        <f>AVERAGE(AS4:AS28)</f>
        <v>2.5833333333333335</v>
      </c>
      <c r="AT29">
        <f>AVERAGE(AT4:AT28)</f>
        <v>2.6956521739130435</v>
      </c>
      <c r="AU29">
        <f>AVERAGE(AU4:AU28)</f>
        <v>1.9583333333333333</v>
      </c>
      <c r="AV29">
        <f>SUM(AQ29:AU29)</f>
        <v>10.52536231884058</v>
      </c>
      <c r="AY29">
        <f>AVERAGE(AY4:AY28)</f>
        <v>0.92</v>
      </c>
      <c r="AZ29">
        <f>AVERAGE(AZ4:AZ28)</f>
        <v>2.86</v>
      </c>
      <c r="BA29">
        <f>AVERAGE(BA4:BA28)</f>
        <v>2.2400000000000002</v>
      </c>
      <c r="BB29">
        <f>AVERAGE(BB4:BB28)</f>
        <v>1.4736842105263157</v>
      </c>
      <c r="BC29">
        <f>AVERAGE(BC4:BC28)</f>
        <v>1.48</v>
      </c>
      <c r="BD29">
        <f>SUM(AY29:BC29)</f>
        <v>8.973684210526315</v>
      </c>
      <c r="BG29">
        <f>AVERAGE(BG4:BG16)</f>
        <v>0.69230769230769229</v>
      </c>
      <c r="BH29">
        <f>AVERAGE(BH4:BH16)</f>
        <v>2.3846153846153846</v>
      </c>
      <c r="BI29">
        <f>AVERAGE(BI4:BI16)</f>
        <v>2.1538461538461537</v>
      </c>
      <c r="BJ29">
        <f>AVERAGE(BJ4:BJ16)</f>
        <v>1.2307692307692308</v>
      </c>
      <c r="BK29">
        <f>AVERAGE(BK4:BK16)</f>
        <v>0.92307692307692313</v>
      </c>
      <c r="BL29">
        <f>SUM(BG29:BK29)</f>
        <v>7.3846153846153841</v>
      </c>
      <c r="BM29" s="14"/>
      <c r="BO29">
        <f>AVERAGE(BO4:BO28)</f>
        <v>2.25</v>
      </c>
      <c r="BP29">
        <f>AVERAGE(BP4:BP28)</f>
        <v>2.9285714285714284</v>
      </c>
      <c r="BQ29">
        <f>AVERAGE(BQ4:BQ28)</f>
        <v>1.6875</v>
      </c>
      <c r="BR29">
        <f>AVERAGE(BR4:BR28)</f>
        <v>2.5714285714285716</v>
      </c>
      <c r="BS29">
        <f>AVERAGE(BS4:BS28)</f>
        <v>1.9375</v>
      </c>
      <c r="BT29">
        <f>SUM(BO29:BS29)</f>
        <v>11.375</v>
      </c>
      <c r="BU29" s="14"/>
      <c r="BW29">
        <f>AVERAGE(BW4:BW28)</f>
        <v>0.36</v>
      </c>
      <c r="BX29">
        <f>AVERAGE(BX4:BX28)</f>
        <v>2.1</v>
      </c>
      <c r="BY29">
        <f>AVERAGE(BY4:BY28)</f>
        <v>2.2799999999999998</v>
      </c>
      <c r="BZ29">
        <f>AVERAGE(BZ4:BZ28)</f>
        <v>2.2799999999999998</v>
      </c>
      <c r="CA29">
        <f>AVERAGE(CA4:CA28)</f>
        <v>1.36</v>
      </c>
      <c r="CB29">
        <f>SUM(BW29:CA29)</f>
        <v>8.379999999999999</v>
      </c>
      <c r="CC29" s="14"/>
      <c r="CE29">
        <f>AVERAGE(CE4:CE18)</f>
        <v>0.46666666666666667</v>
      </c>
      <c r="CF29">
        <f>AVERAGE(CF4:CF18)</f>
        <v>2.3181818181818183</v>
      </c>
      <c r="CG29">
        <f>AVERAGE(CG4:CG18)</f>
        <v>2.5333333333333332</v>
      </c>
      <c r="CH29">
        <f>AVERAGE(CH4:CH18)</f>
        <v>0.3</v>
      </c>
      <c r="CI29">
        <f>AVERAGE(CI4:CI18)</f>
        <v>2.2000000000000002</v>
      </c>
      <c r="CJ29">
        <f>SUM(CE29:CI29)</f>
        <v>7.8181818181818183</v>
      </c>
      <c r="CK29" s="14"/>
      <c r="CM29">
        <f>AVERAGE(CM4:CM28)</f>
        <v>0.32</v>
      </c>
      <c r="CN29">
        <f>AVERAGE(CN4:CN28)</f>
        <v>2.86</v>
      </c>
      <c r="CO29">
        <f>AVERAGE(CO4:CO28)</f>
        <v>2.48</v>
      </c>
      <c r="CP29">
        <f>AVERAGE(CP4:CP28)</f>
        <v>2.2400000000000002</v>
      </c>
      <c r="CQ29">
        <f>AVERAGE(CQ4:CQ28)</f>
        <v>1.36</v>
      </c>
      <c r="CR29">
        <f>SUM(CM29:CQ29)</f>
        <v>9.26</v>
      </c>
      <c r="CU29">
        <f>AVERAGE(CU4:CU28)</f>
        <v>0.24</v>
      </c>
      <c r="CV29">
        <f>AVERAGE(CV4:CV28)</f>
        <v>3</v>
      </c>
      <c r="CW29">
        <f>AVERAGE(CW4:CW28)</f>
        <v>2.2000000000000002</v>
      </c>
      <c r="CX29">
        <f>AVERAGE(CX4:CX28)</f>
        <v>1.24</v>
      </c>
      <c r="CY29">
        <f>AVERAGE(CY4:CY28)</f>
        <v>0.84</v>
      </c>
      <c r="CZ29">
        <f>SUM(CU29:CY29)</f>
        <v>7.5200000000000005</v>
      </c>
      <c r="DC29">
        <f>AVERAGE(DC4:DC28)</f>
        <v>0.36</v>
      </c>
      <c r="DD29">
        <f>AVERAGE(DD4:DD9)</f>
        <v>2.6666666666666665</v>
      </c>
      <c r="DE29">
        <f>AVERAGE(DE4:DE9)</f>
        <v>2.8333333333333335</v>
      </c>
      <c r="DF29">
        <f>AVERAGE(DF4:DF9)</f>
        <v>1</v>
      </c>
      <c r="DG29">
        <f>AVERAGE(DG4:DG9)</f>
        <v>1</v>
      </c>
      <c r="DH29">
        <f>SUM(DC29:DG29)</f>
        <v>7.8599999999999994</v>
      </c>
      <c r="DK29">
        <f>AVERAGE(DK4:DK28)</f>
        <v>0.6</v>
      </c>
      <c r="DL29">
        <f>AVERAGE(DL4:DL28)</f>
        <v>2.6</v>
      </c>
      <c r="DM29">
        <f>AVERAGE(DM4:DM28)</f>
        <v>2.36</v>
      </c>
      <c r="DN29">
        <f>AVERAGE(DN4:DN28)</f>
        <v>1.92</v>
      </c>
      <c r="DO29">
        <f>AVERAGE(DO4:DO28)</f>
        <v>0.76</v>
      </c>
      <c r="DP29">
        <f>SUM(DK29:DO29)</f>
        <v>8.24</v>
      </c>
      <c r="DQ29" s="14"/>
      <c r="DS29">
        <f>AVERAGE(DS4:DS28)</f>
        <v>0.75</v>
      </c>
      <c r="DT29">
        <f>AVERAGE(DT4:DT28)</f>
        <v>2.8541666666666665</v>
      </c>
      <c r="DU29">
        <f>AVERAGE(DU4:DU28)</f>
        <v>2.2083333333333335</v>
      </c>
      <c r="DV29">
        <f>AVERAGE(DV4:DV28)</f>
        <v>1</v>
      </c>
      <c r="DW29">
        <f>AVERAGE(DW4:DW28)</f>
        <v>1</v>
      </c>
      <c r="DX29">
        <f>SUM(DS29:DW29)</f>
        <v>7.8125</v>
      </c>
      <c r="DY29" s="14"/>
      <c r="EB29">
        <f>AVERAGE(EB4:EB23)</f>
        <v>0.58823529411764708</v>
      </c>
      <c r="EC29">
        <f>AVERAGE(EC4:EC23)</f>
        <v>2.8823529411764706</v>
      </c>
      <c r="ED29">
        <f>AVERAGE(ED4:ED23)</f>
        <v>2.4705882352941178</v>
      </c>
      <c r="EE29">
        <f>AVERAGE(EE4:EE23)</f>
        <v>1.1875</v>
      </c>
      <c r="EF29">
        <f>AVERAGE(EF4:EF23)</f>
        <v>0.88235294117647056</v>
      </c>
      <c r="EG29">
        <f>SUM(EB29:EF29)</f>
        <v>8.0110294117647065</v>
      </c>
      <c r="EJ29">
        <f>AVERAGE(EJ4:EJ28)</f>
        <v>0.32</v>
      </c>
      <c r="EK29">
        <f>AVERAGE(EK4:EK28)</f>
        <v>2.82</v>
      </c>
      <c r="EL29">
        <f>AVERAGE(EL4:EL28)</f>
        <v>2.6</v>
      </c>
      <c r="EM29">
        <f>AVERAGE(EM4:EM28)</f>
        <v>1.1000000000000001</v>
      </c>
      <c r="EN29">
        <f>AVERAGE(EN4:EN28)</f>
        <v>1</v>
      </c>
      <c r="EO29">
        <f>SUM(EJ29:EN29)</f>
        <v>7.84</v>
      </c>
      <c r="ER29">
        <f>AVERAGE(ER4:ER21)</f>
        <v>1.0555555555555556</v>
      </c>
      <c r="ES29">
        <f>AVERAGE(ES4:ES21)</f>
        <v>2.4230769230769229</v>
      </c>
      <c r="ET29">
        <f>AVERAGE(ET4:ET21)</f>
        <v>1.5</v>
      </c>
      <c r="EU29">
        <f>AVERAGE(EU4:EU21)</f>
        <v>1.75</v>
      </c>
      <c r="EV29">
        <f>AVERAGE(EV4:EV21)</f>
        <v>0.72222222222222221</v>
      </c>
      <c r="EW29">
        <f>SUM(ER29:EV29)</f>
        <v>7.450854700854701</v>
      </c>
      <c r="EZ29">
        <f>AVERAGE(EZ4:EZ28)</f>
        <v>0.68</v>
      </c>
      <c r="FA29">
        <f>AVERAGE(FA4:FA28)</f>
        <v>2.9</v>
      </c>
      <c r="FB29">
        <f>AVERAGE(FB4:FB28)</f>
        <v>1.84</v>
      </c>
      <c r="FC29">
        <f>AVERAGE(FC4:FC28)</f>
        <v>1.173913043478261</v>
      </c>
      <c r="FD29">
        <f>AVERAGE(FD4:FD28)</f>
        <v>0.92</v>
      </c>
      <c r="FE29" s="78">
        <f>SUM(EZ29:FD29)</f>
        <v>7.5139130434782606</v>
      </c>
      <c r="FH29">
        <f>AVERAGE(FH4:FH28)</f>
        <v>1.68</v>
      </c>
      <c r="FI29">
        <f>AVERAGE(FI4:FI28)</f>
        <v>2.84</v>
      </c>
      <c r="FJ29">
        <f>AVERAGE(FJ4:FJ28)</f>
        <v>1.96</v>
      </c>
      <c r="FK29">
        <f>AVERAGE(FK4:FK28)</f>
        <v>1.7777777777777777</v>
      </c>
      <c r="FL29">
        <f>AVERAGE(FL4:FL28)</f>
        <v>1.1599999999999999</v>
      </c>
      <c r="FM29">
        <f>SUM(FH29:FL29)</f>
        <v>9.4177777777777774</v>
      </c>
      <c r="FP29">
        <f>AVERAGE(FP4:FP28)</f>
        <v>0.48</v>
      </c>
      <c r="FQ29">
        <f>AVERAGE(FQ4:FQ28)</f>
        <v>2.96</v>
      </c>
      <c r="FR29">
        <f>AVERAGE(FR4:FR28)</f>
        <v>2.16</v>
      </c>
      <c r="FS29">
        <f>AVERAGE(FS4:FS28)</f>
        <v>1.68</v>
      </c>
      <c r="FT29">
        <f>AVERAGE(FT4:FT28)</f>
        <v>1.36</v>
      </c>
      <c r="FU29">
        <f>SUM(FP29:FT29)</f>
        <v>8.6399999999999988</v>
      </c>
      <c r="FX29">
        <f>AVERAGE(FX4:FX28)</f>
        <v>0.79166666666666663</v>
      </c>
      <c r="FY29">
        <f>AVERAGE(FY4:FY28)</f>
        <v>2.4583333333333335</v>
      </c>
      <c r="FZ29">
        <f>AVERAGE(FZ4:FZ28)</f>
        <v>2.2916666666666665</v>
      </c>
      <c r="GA29">
        <f>AVERAGE(GA4:GA28)</f>
        <v>1.7916666666666667</v>
      </c>
      <c r="GB29">
        <f>AVERAGE(GB4:GB28)</f>
        <v>1.375</v>
      </c>
      <c r="GC29">
        <f>SUM(FX29:GB29)</f>
        <v>8.7083333333333321</v>
      </c>
      <c r="GF29">
        <f>AVERAGE(GF4:GF28)</f>
        <v>0.58333333333333337</v>
      </c>
      <c r="GG29">
        <f>AVERAGE(GG4:GG28)</f>
        <v>3</v>
      </c>
      <c r="GH29">
        <f>AVERAGE(GH4:GH28)</f>
        <v>2.25</v>
      </c>
      <c r="GI29">
        <f>AVERAGE(GI4:GI28)</f>
        <v>1.25</v>
      </c>
      <c r="GJ29">
        <f>AVERAGE(GJ4:GJ28)</f>
        <v>1.125</v>
      </c>
      <c r="GK29">
        <f>SUM(GF29:GJ29)</f>
        <v>8.2083333333333339</v>
      </c>
      <c r="GN29">
        <f>AVERAGE(GN4:GN28)</f>
        <v>0.44</v>
      </c>
      <c r="GO29">
        <f>AVERAGE(GO4:GO28)</f>
        <v>2.52</v>
      </c>
      <c r="GP29">
        <f>AVERAGE(GP4:GP28)</f>
        <v>2</v>
      </c>
      <c r="GQ29">
        <f>AVERAGE(GQ4:GQ28)</f>
        <v>0.72</v>
      </c>
      <c r="GR29">
        <f>AVERAGE(GR4:GR28)</f>
        <v>0.8</v>
      </c>
      <c r="GS29">
        <f>SUM(GN29:GR29)</f>
        <v>6.4799999999999995</v>
      </c>
      <c r="GV29">
        <f>AVERAGE(GV4:GV28)</f>
        <v>0.48</v>
      </c>
      <c r="GW29">
        <f>AVERAGE(GW4:GW28)</f>
        <v>2.9</v>
      </c>
      <c r="GX29">
        <f>AVERAGE(GX4:GX28)</f>
        <v>1.92</v>
      </c>
      <c r="GY29">
        <f>AVERAGE(GY4:GY28)</f>
        <v>1.0434782608695652</v>
      </c>
      <c r="GZ29">
        <f>AVERAGE(GZ4:GZ28)</f>
        <v>0.76</v>
      </c>
      <c r="HA29">
        <f>SUM(GV29:GZ29)</f>
        <v>7.103478260869565</v>
      </c>
      <c r="HD29">
        <f>AVERAGE(HD4:HD28)</f>
        <v>0.78947368421052633</v>
      </c>
      <c r="HE29">
        <f>AVERAGE(HE4:HE28)</f>
        <v>2.8947368421052633</v>
      </c>
      <c r="HF29">
        <f>AVERAGE(HF4:HF28)</f>
        <v>1.3157894736842106</v>
      </c>
      <c r="HG29">
        <f>AVERAGE(HG4:HG28)</f>
        <v>2.1428571428571428</v>
      </c>
      <c r="HH29">
        <f>AVERAGE(HH4:HH28)</f>
        <v>1</v>
      </c>
      <c r="HI29">
        <f>SUM(HD29:HH29)</f>
        <v>8.1428571428571423</v>
      </c>
      <c r="HL29">
        <f>AVERAGE(HL4:HL28)</f>
        <v>0.25</v>
      </c>
      <c r="HM29">
        <f>AVERAGE(HM4:HM28)</f>
        <v>2.875</v>
      </c>
      <c r="HN29">
        <f>AVERAGE(HN4:HN28)</f>
        <v>2.1666666666666665</v>
      </c>
      <c r="HO29">
        <f>AVERAGE(HO4:HO28)</f>
        <v>1.25</v>
      </c>
      <c r="HP29">
        <f>AVERAGE(HP4:HP28)</f>
        <v>0.91666666666666663</v>
      </c>
      <c r="HQ29">
        <f>SUM(HL29:HP29)</f>
        <v>7.458333333333333</v>
      </c>
      <c r="HT29">
        <f>AVERAGE(HT4:HT28)</f>
        <v>0.88</v>
      </c>
      <c r="HU29">
        <f>AVERAGE(HU4:HU28)</f>
        <v>2.72</v>
      </c>
      <c r="HV29">
        <f>AVERAGE(HV4:HV28)</f>
        <v>2</v>
      </c>
      <c r="HW29">
        <f>AVERAGE(HW4:HW28)</f>
        <v>1</v>
      </c>
      <c r="HX29">
        <f>AVERAGE(HX4:HX28)</f>
        <v>1.08</v>
      </c>
      <c r="HY29">
        <f>SUM(HT29:HX29)</f>
        <v>7.68</v>
      </c>
      <c r="IB29">
        <f>AVERAGE(IB4:IB28)</f>
        <v>1.04</v>
      </c>
      <c r="IC29">
        <f>AVERAGE(IC4:IC28)</f>
        <v>2.82</v>
      </c>
      <c r="ID29">
        <f>AVERAGE(ID4:ID28)</f>
        <v>2.2400000000000002</v>
      </c>
      <c r="IE29">
        <f>AVERAGE(IE4:IE28)</f>
        <v>1.5217391304347827</v>
      </c>
      <c r="IF29">
        <f>AVERAGE(IF4:IF28)</f>
        <v>1.08</v>
      </c>
      <c r="IG29">
        <f>SUM(IB29:IF29)</f>
        <v>8.7017391304347829</v>
      </c>
      <c r="IJ29">
        <f>AVERAGE(IJ4:IJ28)</f>
        <v>0.66666666666666663</v>
      </c>
      <c r="IK29">
        <f>AVERAGE(IK4:IK28)</f>
        <v>2.3333333333333335</v>
      </c>
      <c r="IL29">
        <f>AVERAGE(IL4:IL28)</f>
        <v>2.5</v>
      </c>
      <c r="IM29">
        <f>AVERAGE(IM4:IM28)</f>
        <v>1</v>
      </c>
      <c r="IN29">
        <f>AVERAGE(IN4:IN28)</f>
        <v>1.3333333333333333</v>
      </c>
      <c r="IO29">
        <f>SUM(IJ29:IN29)</f>
        <v>7.833333333333333</v>
      </c>
      <c r="IR29">
        <f>AVERAGE(IR4:IR28)</f>
        <v>0.28000000000000003</v>
      </c>
      <c r="IS29">
        <f>AVERAGE(IS4:IS28)</f>
        <v>2.82</v>
      </c>
      <c r="IT29">
        <f>AVERAGE(IT4:IT28)</f>
        <v>2.12</v>
      </c>
      <c r="IU29">
        <f>AVERAGE(IU4:IU28)</f>
        <v>0.48</v>
      </c>
      <c r="IV29">
        <f>AVERAGE(IV4:IV28)</f>
        <v>0.52</v>
      </c>
      <c r="IW29">
        <f>AVERAGE(IW4:IW28)</f>
        <v>6.22</v>
      </c>
      <c r="IZ29">
        <f>AVERAGE(IZ4:IZ28)</f>
        <v>0.16</v>
      </c>
      <c r="JA29">
        <f>AVERAGE(JA4:JA28)</f>
        <v>2.84</v>
      </c>
      <c r="JB29">
        <f>AVERAGE(JB4:JB28)</f>
        <v>2.36</v>
      </c>
      <c r="JC29">
        <f>AVERAGE(JC4:JC28)</f>
        <v>0.56000000000000005</v>
      </c>
      <c r="JD29">
        <f>AVERAGE(JD4:JD28)</f>
        <v>0.84</v>
      </c>
      <c r="JE29">
        <f>AVERAGE(JE4:JE28)</f>
        <v>6.76</v>
      </c>
      <c r="JH29">
        <f>AVERAGE(JH4:JH17)</f>
        <v>0.7857142857142857</v>
      </c>
      <c r="JI29">
        <f>AVERAGE(JI4:JI17)</f>
        <v>2.8571428571428572</v>
      </c>
      <c r="JJ29">
        <f>AVERAGE(JJ4:JJ17)</f>
        <v>1.9285714285714286</v>
      </c>
      <c r="JK29">
        <f>AVERAGE(JK4:JK17)</f>
        <v>1</v>
      </c>
      <c r="JL29">
        <f>AVERAGE(JL4:JL17)</f>
        <v>0.7857142857142857</v>
      </c>
      <c r="JM29">
        <f>AVERAGE(JM4:JM17)</f>
        <v>7.3571428571428568</v>
      </c>
      <c r="JP29">
        <f>AVERAGE(JP4:JP28)</f>
        <v>1.1200000000000001</v>
      </c>
      <c r="JQ29">
        <f>AVERAGE(JQ4:JQ28)</f>
        <v>2.92</v>
      </c>
      <c r="JR29">
        <f>AVERAGE(JR4:JR28)</f>
        <v>2</v>
      </c>
      <c r="JS29">
        <f>AVERAGE(JS4:JS28)</f>
        <v>1.88</v>
      </c>
      <c r="JT29">
        <f>AVERAGE(JT4:JT28)</f>
        <v>1.1200000000000001</v>
      </c>
      <c r="JU29">
        <f>AVERAGE(JU4:JU28)</f>
        <v>9.0399999999999991</v>
      </c>
      <c r="JX29">
        <f>AVERAGE(JX4:JX28)</f>
        <v>0.44</v>
      </c>
      <c r="JY29">
        <f>AVERAGE(JY4:JY28)</f>
        <v>2.78</v>
      </c>
      <c r="JZ29">
        <f>AVERAGE(JZ4:JZ28)</f>
        <v>2.2000000000000002</v>
      </c>
      <c r="KA29">
        <f>AVERAGE(KA4:KA28)</f>
        <v>0.79166666666666663</v>
      </c>
      <c r="KB29">
        <f>AVERAGE(KB4:KB28)</f>
        <v>0.76</v>
      </c>
      <c r="KC29">
        <f>AVERAGE(KC4:KC28)</f>
        <v>6.94</v>
      </c>
      <c r="KF29">
        <f>AVERAGE(KF4:KF28)</f>
        <v>0.4</v>
      </c>
      <c r="KG29">
        <f>AVERAGE(KG4:KG28)</f>
        <v>2.8</v>
      </c>
      <c r="KH29">
        <f>AVERAGE(KH4:KH28)</f>
        <v>2</v>
      </c>
      <c r="KI29">
        <f>AVERAGE(KI4:KI28)</f>
        <v>1.1200000000000001</v>
      </c>
      <c r="KJ29">
        <f>AVERAGE(KJ4:KJ28)</f>
        <v>1</v>
      </c>
      <c r="KK29">
        <f>AVERAGE(KK4:KK28)</f>
        <v>7.32</v>
      </c>
      <c r="KN29">
        <f>AVERAGE(KN4:KN28)</f>
        <v>0.52</v>
      </c>
      <c r="KO29">
        <f>AVERAGE(KO4:KO28)</f>
        <v>2.84</v>
      </c>
      <c r="KP29">
        <f>AVERAGE(KP4:KP28)</f>
        <v>2.2799999999999998</v>
      </c>
      <c r="KQ29">
        <f>AVERAGE(KQ4:KQ28)</f>
        <v>1</v>
      </c>
      <c r="KR29">
        <f>AVERAGE(KR4:KR28)</f>
        <v>1.36</v>
      </c>
      <c r="KS29">
        <f>AVERAGE(KS4:KS28)</f>
        <v>7.96</v>
      </c>
      <c r="KV29">
        <f>AVERAGE(KV4:KV28)</f>
        <v>0.48</v>
      </c>
      <c r="KW29">
        <f>AVERAGE(KW4:KW28)</f>
        <v>2.82</v>
      </c>
      <c r="KX29">
        <f>AVERAGE(KX4:KX28)</f>
        <v>2.08</v>
      </c>
      <c r="KY29">
        <f>AVERAGE(KY4:KY28)</f>
        <v>1.2</v>
      </c>
      <c r="KZ29">
        <f>AVERAGE(KZ4:KZ28)</f>
        <v>0.88</v>
      </c>
      <c r="LA29">
        <f>AVERAGE(LA4:LA28)</f>
        <v>7.46</v>
      </c>
      <c r="LD29">
        <f>AVERAGE(LD4:LD28)</f>
        <v>2.2173913043478262</v>
      </c>
      <c r="LE29">
        <f>AVERAGE(LE4:LE28)</f>
        <v>3</v>
      </c>
      <c r="LF29">
        <f>AVERAGE(LF4:LF28)</f>
        <v>2.125</v>
      </c>
      <c r="LG29">
        <f>AVERAGE(LG4:LG28)</f>
        <v>2.5555555555555554</v>
      </c>
      <c r="LH29">
        <f>AVERAGE(LH4:LH28)</f>
        <v>2.5416666666666665</v>
      </c>
      <c r="LI29">
        <f>AVERAGE(LI4:LI28)</f>
        <v>10.75</v>
      </c>
      <c r="LL29">
        <f>AVERAGE(LL4:LL28)</f>
        <v>0.38461538461538464</v>
      </c>
      <c r="LM29">
        <f>AVERAGE(LM4:LM28)</f>
        <v>3</v>
      </c>
      <c r="LN29">
        <f>AVERAGE(LN4:LN28)</f>
        <v>2.6153846153846154</v>
      </c>
      <c r="LO29">
        <f>AVERAGE(LO4:LO28)</f>
        <v>0.45454545454545453</v>
      </c>
      <c r="LP29">
        <f>AVERAGE(LP4:LP28)</f>
        <v>1.2307692307692308</v>
      </c>
      <c r="LQ29">
        <f>AVERAGE(LQ4:LQ28)</f>
        <v>7.615384615384615</v>
      </c>
    </row>
    <row r="30" spans="1:329" x14ac:dyDescent="0.35">
      <c r="CC30" s="77"/>
    </row>
    <row r="31" spans="1:329" ht="15" thickBot="1" x14ac:dyDescent="0.4"/>
    <row r="32" spans="1:329" x14ac:dyDescent="0.35">
      <c r="A32" s="115" t="s">
        <v>49</v>
      </c>
      <c r="B32" s="118" t="s">
        <v>50</v>
      </c>
      <c r="C32" s="119"/>
      <c r="J32" t="s">
        <v>35</v>
      </c>
      <c r="R32" t="s">
        <v>36</v>
      </c>
      <c r="AH32" t="s">
        <v>37</v>
      </c>
      <c r="AP32" t="s">
        <v>70</v>
      </c>
      <c r="BF32" t="s">
        <v>44</v>
      </c>
      <c r="CL32" t="s">
        <v>42</v>
      </c>
      <c r="DR32" t="s">
        <v>38</v>
      </c>
      <c r="EY32" t="s">
        <v>43</v>
      </c>
      <c r="IA32" t="s">
        <v>39</v>
      </c>
      <c r="II32" t="s">
        <v>40</v>
      </c>
      <c r="LC32" t="s">
        <v>41</v>
      </c>
    </row>
    <row r="33" spans="1:329" x14ac:dyDescent="0.35">
      <c r="A33" s="116"/>
      <c r="B33" s="120" t="s">
        <v>51</v>
      </c>
      <c r="C33" s="121"/>
      <c r="LC33" t="s">
        <v>69</v>
      </c>
    </row>
    <row r="34" spans="1:329" x14ac:dyDescent="0.35">
      <c r="A34" s="116"/>
      <c r="B34" s="122" t="s">
        <v>52</v>
      </c>
      <c r="C34" s="123"/>
      <c r="DR34" t="s">
        <v>45</v>
      </c>
    </row>
    <row r="35" spans="1:329" x14ac:dyDescent="0.35">
      <c r="A35" s="116"/>
      <c r="B35" s="124" t="s">
        <v>53</v>
      </c>
      <c r="C35" s="125"/>
    </row>
    <row r="36" spans="1:329" ht="15" thickBot="1" x14ac:dyDescent="0.4">
      <c r="A36" s="117"/>
      <c r="B36" s="126" t="s">
        <v>54</v>
      </c>
      <c r="C36" s="127"/>
      <c r="EB36" s="79"/>
      <c r="EC36" s="80"/>
      <c r="ED36" s="80"/>
      <c r="EE36" s="80"/>
      <c r="EF36" s="80"/>
      <c r="EG36" s="81"/>
      <c r="EJ36" s="79"/>
      <c r="EK36" s="80"/>
      <c r="EL36" s="80"/>
      <c r="EM36" s="80"/>
      <c r="EN36" s="80"/>
      <c r="EO36" s="81"/>
      <c r="ER36" s="82">
        <f>AVERAGE(ER11:ER13,ER15:ER16,ER18:ER21)</f>
        <v>0.88888888888888884</v>
      </c>
      <c r="ES36" s="83">
        <f>AVERAGE(ES11:ES13,ES15:ES16,ES18:ES21)</f>
        <v>2.2777777777777777</v>
      </c>
      <c r="ET36" s="83">
        <f>AVERAGE(ET11:ET13,ET15:ET16,ET18:ET21)</f>
        <v>1.7777777777777777</v>
      </c>
      <c r="EU36" s="83">
        <f>AVERAGE(EU11:EU13,EU15:EU16,EU18:EU21)</f>
        <v>1.25</v>
      </c>
      <c r="EV36" s="83">
        <f>AVERAGE(EV11:EV13,EV15:EV16,EV18:EV21)</f>
        <v>0.66666666666666663</v>
      </c>
      <c r="EW36" s="84">
        <f>AVERAGE(EW11:EW13,EW15,EX16,EW18:EW21)</f>
        <v>6.8611111111111107</v>
      </c>
      <c r="EZ36" s="82">
        <f t="shared" ref="EZ36:FE36" si="42">AVERAGE(EZ9:EZ11,EZ21:EZ24,EZ28)</f>
        <v>0.625</v>
      </c>
      <c r="FA36" s="83">
        <f t="shared" si="42"/>
        <v>2.9375</v>
      </c>
      <c r="FB36" s="83">
        <f t="shared" si="42"/>
        <v>2</v>
      </c>
      <c r="FC36" s="83">
        <f t="shared" si="42"/>
        <v>1.125</v>
      </c>
      <c r="FD36" s="83">
        <f t="shared" si="42"/>
        <v>0.625</v>
      </c>
      <c r="FE36" s="84">
        <f t="shared" si="42"/>
        <v>7.3125</v>
      </c>
      <c r="FH36" s="82">
        <f t="shared" ref="FH36:FM36" si="43">AVERAGE(FH7:FH8)</f>
        <v>0.5</v>
      </c>
      <c r="FI36" s="83">
        <f t="shared" si="43"/>
        <v>3</v>
      </c>
      <c r="FJ36" s="83">
        <f t="shared" si="43"/>
        <v>2</v>
      </c>
      <c r="FK36" s="83">
        <f t="shared" si="43"/>
        <v>1</v>
      </c>
      <c r="FL36" s="83">
        <f t="shared" si="43"/>
        <v>1</v>
      </c>
      <c r="FM36" s="84">
        <f t="shared" si="43"/>
        <v>7.5</v>
      </c>
      <c r="FP36" s="82">
        <f t="shared" ref="FP36:FU36" si="44">AVERAGE(FP4:FP5,FP7:FP13,FP15:FP21,FP23,FP25:FP28)</f>
        <v>0.52380952380952384</v>
      </c>
      <c r="FQ36" s="83">
        <f t="shared" si="44"/>
        <v>3</v>
      </c>
      <c r="FR36" s="83">
        <f t="shared" si="44"/>
        <v>2.0952380952380953</v>
      </c>
      <c r="FS36" s="83">
        <f t="shared" si="44"/>
        <v>1.8095238095238095</v>
      </c>
      <c r="FT36" s="83">
        <f t="shared" si="44"/>
        <v>1.4285714285714286</v>
      </c>
      <c r="FU36" s="84">
        <f t="shared" si="44"/>
        <v>8.8571428571428577</v>
      </c>
      <c r="FX36" s="82">
        <f t="shared" ref="FX36:GC36" si="45">AVERAGE(FX8,FX11:FX12,FX20,FX28)</f>
        <v>1.2</v>
      </c>
      <c r="FY36" s="83">
        <f t="shared" si="45"/>
        <v>2.8</v>
      </c>
      <c r="FZ36" s="83">
        <f t="shared" si="45"/>
        <v>1.8</v>
      </c>
      <c r="GA36" s="83">
        <f t="shared" si="45"/>
        <v>2.4</v>
      </c>
      <c r="GB36" s="83">
        <f t="shared" si="45"/>
        <v>2</v>
      </c>
      <c r="GC36" s="84">
        <f t="shared" si="45"/>
        <v>10.199999999999999</v>
      </c>
      <c r="GF36" s="82">
        <f t="shared" ref="GF36:GK36" si="46">AVERAGE(GF4,GF12:GF16,GF21:GF22)</f>
        <v>0.75</v>
      </c>
      <c r="GG36" s="83">
        <f t="shared" si="46"/>
        <v>3</v>
      </c>
      <c r="GH36" s="83">
        <f t="shared" si="46"/>
        <v>2.25</v>
      </c>
      <c r="GI36" s="83">
        <f t="shared" si="46"/>
        <v>1.375</v>
      </c>
      <c r="GJ36" s="83">
        <f t="shared" si="46"/>
        <v>0.75</v>
      </c>
      <c r="GK36" s="84">
        <f t="shared" si="46"/>
        <v>8.125</v>
      </c>
      <c r="GN36" s="82">
        <f t="shared" ref="GN36:GS36" si="47">AVERAGE(GN4:GN14,GN16:GN17,GN20:GN22,GN24:GN28)</f>
        <v>0.47619047619047616</v>
      </c>
      <c r="GO36" s="83">
        <f t="shared" si="47"/>
        <v>2.5476190476190474</v>
      </c>
      <c r="GP36" s="83">
        <f t="shared" si="47"/>
        <v>2.0952380952380953</v>
      </c>
      <c r="GQ36" s="83">
        <f t="shared" si="47"/>
        <v>0.7142857142857143</v>
      </c>
      <c r="GR36" s="83">
        <f t="shared" si="47"/>
        <v>0.76190476190476186</v>
      </c>
      <c r="GS36" s="84">
        <f t="shared" si="47"/>
        <v>6.5952380952380949</v>
      </c>
      <c r="GV36" s="82">
        <f t="shared" ref="GV36:HA36" si="48">AVERAGE(GV9,GV23)</f>
        <v>0.5</v>
      </c>
      <c r="GW36" s="83">
        <f t="shared" si="48"/>
        <v>3</v>
      </c>
      <c r="GX36" s="83">
        <f t="shared" si="48"/>
        <v>1.5</v>
      </c>
      <c r="GY36" s="83">
        <f t="shared" si="48"/>
        <v>2</v>
      </c>
      <c r="GZ36" s="83">
        <f t="shared" si="48"/>
        <v>1</v>
      </c>
      <c r="HA36" s="84">
        <f t="shared" si="48"/>
        <v>8</v>
      </c>
      <c r="HD36" s="82">
        <v>2</v>
      </c>
      <c r="HE36" s="83">
        <v>2</v>
      </c>
      <c r="HF36" s="83">
        <v>2</v>
      </c>
      <c r="HG36" s="83">
        <v>3</v>
      </c>
      <c r="HH36" s="83">
        <v>2</v>
      </c>
      <c r="HI36" s="84">
        <v>11</v>
      </c>
      <c r="IB36" s="82">
        <f t="shared" ref="IB36:IG36" si="49">AVERAGE(IB10:IB11,IB14:IB15,IB26,IB28)</f>
        <v>0.66666666666666663</v>
      </c>
      <c r="IC36" s="83">
        <f t="shared" si="49"/>
        <v>2.75</v>
      </c>
      <c r="ID36" s="83">
        <f t="shared" si="49"/>
        <v>2.5</v>
      </c>
      <c r="IE36" s="83">
        <f t="shared" si="49"/>
        <v>1.1666666666666667</v>
      </c>
      <c r="IF36" s="83">
        <f t="shared" si="49"/>
        <v>1</v>
      </c>
      <c r="IG36" s="84">
        <f t="shared" si="49"/>
        <v>8.0833333333333339</v>
      </c>
      <c r="IJ36" s="82">
        <v>0</v>
      </c>
      <c r="IK36" s="83">
        <v>2</v>
      </c>
      <c r="IL36" s="83">
        <v>2</v>
      </c>
      <c r="IM36" s="83">
        <v>1</v>
      </c>
      <c r="IN36" s="83">
        <v>2</v>
      </c>
      <c r="IO36" s="84">
        <v>7</v>
      </c>
      <c r="IR36" s="82">
        <f t="shared" ref="IR36:IW36" si="50">AVERAGE(IR4:IR5,IR11:IR14,IR25,IR27:IR28)</f>
        <v>0.22222222222222221</v>
      </c>
      <c r="IS36" s="83">
        <f t="shared" si="50"/>
        <v>2.9444444444444446</v>
      </c>
      <c r="IT36" s="83">
        <f t="shared" si="50"/>
        <v>1.7777777777777777</v>
      </c>
      <c r="IU36" s="83">
        <f t="shared" si="50"/>
        <v>0.77777777777777779</v>
      </c>
      <c r="IV36" s="83">
        <f t="shared" si="50"/>
        <v>0.66666666666666663</v>
      </c>
      <c r="IW36" s="84">
        <f t="shared" si="50"/>
        <v>6.3888888888888893</v>
      </c>
      <c r="IZ36" s="82">
        <f t="shared" ref="IZ36:JE36" si="51">AVERAGE(IZ6,IZ16:IZ23,IZ25:IZ28)</f>
        <v>0.30769230769230771</v>
      </c>
      <c r="JA36" s="83">
        <f t="shared" si="51"/>
        <v>2.8076923076923075</v>
      </c>
      <c r="JB36" s="83">
        <f t="shared" si="51"/>
        <v>2.3076923076923075</v>
      </c>
      <c r="JC36" s="83">
        <f t="shared" si="51"/>
        <v>1</v>
      </c>
      <c r="JD36" s="83">
        <f t="shared" si="51"/>
        <v>1.0769230769230769</v>
      </c>
      <c r="JE36" s="84">
        <f t="shared" si="51"/>
        <v>7.5</v>
      </c>
      <c r="JH36" s="85"/>
      <c r="JI36" s="86"/>
      <c r="JJ36" s="86"/>
      <c r="JK36" s="86"/>
      <c r="JL36" s="86"/>
      <c r="JM36" s="87"/>
      <c r="JP36" s="82">
        <f t="shared" ref="JP36:JU36" si="52">AVERAGE(JP4:JP6,JP12,JP18,JP21:JP26)</f>
        <v>0.72727272727272729</v>
      </c>
      <c r="JQ36" s="83">
        <f t="shared" si="52"/>
        <v>2.8181818181818183</v>
      </c>
      <c r="JR36" s="83">
        <f t="shared" si="52"/>
        <v>2.0909090909090908</v>
      </c>
      <c r="JS36" s="83">
        <f t="shared" si="52"/>
        <v>1.3636363636363635</v>
      </c>
      <c r="JT36" s="83">
        <f t="shared" si="52"/>
        <v>1.0909090909090908</v>
      </c>
      <c r="JU36" s="84">
        <f t="shared" si="52"/>
        <v>8.0909090909090917</v>
      </c>
      <c r="JX36" s="82">
        <f>AVERAGE(JX4,JX6,JX8,JX10:JX12,JX15,JX18:JX19,JX22,JX26)</f>
        <v>0.63636363636363635</v>
      </c>
      <c r="JY36" s="83">
        <f>AVERAGE(JY4,JY6,JY8,JY10:JY12,JY15,JY18:JY19,JY22,JY26)</f>
        <v>2.8181818181818183</v>
      </c>
      <c r="JZ36" s="83">
        <f>AVERAGE(JZ4,JZ6,JZ8,JZ10:JZ12,JZ15,JZ18:JZ19,JZ22,JZ26)</f>
        <v>2</v>
      </c>
      <c r="KA36" s="83">
        <f>AVERAGE(KA4,KA6,KA8,KA10:KA12,KA15,KA18:KA19,KA22,KA26)</f>
        <v>1.2</v>
      </c>
      <c r="KB36" s="83">
        <f>AVERAGE(KB4,KB6,KB8,KB10:KB12,KB15,KB18:KB19,KB22,KB26)</f>
        <v>1</v>
      </c>
      <c r="KC36" s="84">
        <f>AVERAGE(KC4,KC6,KC8,KC10:KC12,KC15,KC18:KC19,KD22,KC26)</f>
        <v>7.7045454545454541</v>
      </c>
      <c r="KF36" s="82">
        <f t="shared" ref="KF36:KJ36" si="53">AVERAGE(KF4,KF6,KF9,KF11:KF14,KF18:KF19,KF23,KF25,KF28)</f>
        <v>0.58333333333333337</v>
      </c>
      <c r="KG36" s="83">
        <f t="shared" si="53"/>
        <v>2.6666666666666665</v>
      </c>
      <c r="KH36" s="83">
        <f t="shared" si="53"/>
        <v>1.75</v>
      </c>
      <c r="KI36" s="83">
        <f t="shared" si="53"/>
        <v>1.3333333333333333</v>
      </c>
      <c r="KJ36" s="83">
        <f t="shared" si="53"/>
        <v>1.0833333333333333</v>
      </c>
      <c r="KK36" s="84">
        <f>AVERAGE(KK4,KK6,KK9,KK11:KK14,KK18:KK19,KK23,KK25,KK28)</f>
        <v>7.416666666666667</v>
      </c>
      <c r="KN36" s="82">
        <f t="shared" ref="KN36:KS36" si="54">AVERAGE(KN6,KN8,KN10:KN20,KN22,KN26:KN28)</f>
        <v>0.70588235294117652</v>
      </c>
      <c r="KO36" s="83">
        <f t="shared" si="54"/>
        <v>2.8823529411764706</v>
      </c>
      <c r="KP36" s="83">
        <f t="shared" si="54"/>
        <v>2.2352941176470589</v>
      </c>
      <c r="KQ36" s="83">
        <f t="shared" si="54"/>
        <v>1.1764705882352942</v>
      </c>
      <c r="KR36" s="83">
        <f t="shared" si="54"/>
        <v>1.4705882352941178</v>
      </c>
      <c r="KS36" s="84">
        <f t="shared" si="54"/>
        <v>8.4705882352941178</v>
      </c>
      <c r="LD36" s="82">
        <f>AVERAGE(LD9,LD22,LD24,LD26:LD28)</f>
        <v>2</v>
      </c>
      <c r="LE36" s="83">
        <f>AVERAGE(LE9,LE22,LE24,LE26:LE28)</f>
        <v>3</v>
      </c>
      <c r="LF36" s="83">
        <f>AVERAGE(LF9,LF22,LF24,LF26:LF28)</f>
        <v>2.6</v>
      </c>
      <c r="LG36" s="83">
        <f>AVERAGE(LG9,LG22,LG24,LG26:LG28)</f>
        <v>2.3333333333333335</v>
      </c>
      <c r="LH36" s="83">
        <f>AVERAGE(LH9,LH22,LH24,LH26:LH28)</f>
        <v>2.6</v>
      </c>
      <c r="LI36" s="84">
        <f>AVERAGE(LI9,LJ22,LI24,LI27,LJ28)</f>
        <v>12.65</v>
      </c>
      <c r="LL36" s="82">
        <f t="shared" ref="LL36:LQ36" si="55">AVERAGE(LL4:LL9)</f>
        <v>0</v>
      </c>
      <c r="LM36" s="83">
        <f t="shared" si="55"/>
        <v>3</v>
      </c>
      <c r="LN36" s="83">
        <f t="shared" si="55"/>
        <v>2.6666666666666665</v>
      </c>
      <c r="LO36" s="83">
        <f t="shared" si="55"/>
        <v>0.33333333333333331</v>
      </c>
      <c r="LP36" s="83">
        <f t="shared" si="55"/>
        <v>0.66666666666666663</v>
      </c>
      <c r="LQ36" s="84">
        <f t="shared" si="55"/>
        <v>6.666666666666667</v>
      </c>
    </row>
    <row r="37" spans="1:329" x14ac:dyDescent="0.35">
      <c r="J37" s="75"/>
      <c r="K37" s="75"/>
      <c r="L37" s="75"/>
      <c r="M37" s="75"/>
      <c r="N37" s="75"/>
      <c r="O37" s="75"/>
      <c r="P37" s="75"/>
      <c r="Q37" s="75"/>
      <c r="EB37" s="88">
        <f t="shared" ref="EB37:EG37" si="56">AVERAGE(EB5:EB20)</f>
        <v>0.5625</v>
      </c>
      <c r="EC37" s="89">
        <f t="shared" si="56"/>
        <v>2.875</v>
      </c>
      <c r="ED37" s="89">
        <f t="shared" si="56"/>
        <v>2.5</v>
      </c>
      <c r="EE37" s="89">
        <f t="shared" si="56"/>
        <v>1.1875</v>
      </c>
      <c r="EF37" s="89">
        <f t="shared" si="56"/>
        <v>0.875</v>
      </c>
      <c r="EG37" s="90">
        <f t="shared" si="56"/>
        <v>8</v>
      </c>
      <c r="EJ37" s="88">
        <f>AVERAGE(EJ5:EJ13,EJ15:EJ25,EJ27:EJ28)</f>
        <v>0.27272727272727271</v>
      </c>
      <c r="EK37" s="89">
        <f>AVERAGE(EK5:EK13,EK15:EK25,EK27:EK28)</f>
        <v>2.8409090909090908</v>
      </c>
      <c r="EL37" s="89">
        <f>AVERAGE(EL5:EL13,EL15:EL25,EL27:EL28)</f>
        <v>2.6818181818181817</v>
      </c>
      <c r="EM37" s="89">
        <f>AVERAGE(EM5:EM13,EM15:EM25,EM27:EM28)</f>
        <v>1.1111111111111112</v>
      </c>
      <c r="EN37" s="89">
        <f>AVERAGE(EN5:EN13,EN15:EN25,EN27:EN28)</f>
        <v>1</v>
      </c>
      <c r="EO37" s="90">
        <f>AVERAGE(EO5,EP6,EO7:EO13,EP15,EO16:EO25,EP27:EP28)</f>
        <v>7.9886363636363633</v>
      </c>
      <c r="ER37" s="88">
        <f>AVERAGE(ER4,ER6:ER10,ER14,ER17)</f>
        <v>1.125</v>
      </c>
      <c r="ES37" s="89">
        <f>AVERAGE(ES4,ES6:ES10,ES14,ES17)</f>
        <v>2.75</v>
      </c>
      <c r="ET37" s="89">
        <f>AVERAGE(ET4,ET6:ET10,ET14,ET17)</f>
        <v>1.25</v>
      </c>
      <c r="EU37" s="89">
        <f>AVERAGE(EU4,EU6:EU10,EU14,EU17)</f>
        <v>2.75</v>
      </c>
      <c r="EV37" s="89">
        <f>AVERAGE(EV4,EV6:EV10,EV14,EV17)</f>
        <v>0.75</v>
      </c>
      <c r="EW37" s="90">
        <f>AVERAGE(EX4,EX6:EX7,EW8,EX9,EW10,EX14,EX17)</f>
        <v>6.979166666666667</v>
      </c>
      <c r="EZ37" s="88">
        <f>AVERAGE(EZ4,EZ6:EZ8,EZ13,EZ15:EZ17,EZ20,EZ25:EZ27)</f>
        <v>0.66666666666666663</v>
      </c>
      <c r="FA37" s="89">
        <f>AVERAGE(FA4,FA6:FA8,FA13,FA15:FA17,FA20,FA25:FA27)</f>
        <v>2.9166666666666665</v>
      </c>
      <c r="FB37" s="89">
        <f>AVERAGE(FB4,FB6:FB8,FB13,FB15:FB17,FB20,FB25:FB27)</f>
        <v>1.8333333333333333</v>
      </c>
      <c r="FC37" s="89">
        <f>AVERAGE(FC4,FC6:FC8,FC13,FC15:FC17,FC20,FC25:FC27)</f>
        <v>1.0909090909090908</v>
      </c>
      <c r="FD37" s="89">
        <f>AVERAGE(FD4,FD6:FD8,FD13,FD15:FD17,FD20,FD25:FD27)</f>
        <v>1.1666666666666667</v>
      </c>
      <c r="FE37" s="90">
        <f>AVERAGE(FF4,FE6:FE8,FE13,FE15:FE17,FE20,FE25:FE27)</f>
        <v>7.708333333333333</v>
      </c>
      <c r="FH37" s="88">
        <f>AVERAGE(FH10:FH12)</f>
        <v>1.3333333333333333</v>
      </c>
      <c r="FI37" s="89">
        <f>AVERAGE(FI10:FI12)</f>
        <v>3</v>
      </c>
      <c r="FJ37" s="89">
        <f>AVERAGE(FJ10:FJ12)</f>
        <v>1.6666666666666667</v>
      </c>
      <c r="FK37" s="89">
        <f>AVERAGE(FK10:FK12)</f>
        <v>1.5</v>
      </c>
      <c r="FL37" s="89">
        <f>AVERAGE(FL10:FL12)</f>
        <v>1</v>
      </c>
      <c r="FM37" s="90">
        <f>AVERAGE(FN10,FM11:FM12)</f>
        <v>8.4166666666666661</v>
      </c>
      <c r="FP37" s="88">
        <f t="shared" ref="FP37:FU37" si="57">AVERAGE(FP22,FP24)</f>
        <v>0.5</v>
      </c>
      <c r="FQ37" s="89">
        <f t="shared" si="57"/>
        <v>2.5</v>
      </c>
      <c r="FR37" s="89">
        <f t="shared" si="57"/>
        <v>2.5</v>
      </c>
      <c r="FS37" s="89">
        <f t="shared" si="57"/>
        <v>1</v>
      </c>
      <c r="FT37" s="89">
        <f t="shared" si="57"/>
        <v>1</v>
      </c>
      <c r="FU37" s="90">
        <f t="shared" si="57"/>
        <v>7.5</v>
      </c>
      <c r="FX37" s="88">
        <f t="shared" ref="FX37:GC37" si="58">AVERAGE(FX4:FX6,FX15,FX17:FX18,FX21:FX22,FX25)</f>
        <v>0.55555555555555558</v>
      </c>
      <c r="FY37" s="89">
        <f t="shared" si="58"/>
        <v>2.4444444444444446</v>
      </c>
      <c r="FZ37" s="89">
        <f t="shared" si="58"/>
        <v>2.6666666666666665</v>
      </c>
      <c r="GA37" s="89">
        <f t="shared" si="58"/>
        <v>1.5555555555555556</v>
      </c>
      <c r="GB37" s="89">
        <f t="shared" si="58"/>
        <v>1.1111111111111112</v>
      </c>
      <c r="GC37" s="90">
        <f t="shared" si="58"/>
        <v>8.3333333333333339</v>
      </c>
      <c r="GF37" s="88">
        <f t="shared" ref="GF37:GK37" si="59">AVERAGE(GF5:GF6,GF8:GF11,GF17:GF20,GF23:GF28)</f>
        <v>0.5</v>
      </c>
      <c r="GG37" s="89">
        <f t="shared" si="59"/>
        <v>3</v>
      </c>
      <c r="GH37" s="89">
        <f t="shared" si="59"/>
        <v>2.25</v>
      </c>
      <c r="GI37" s="89">
        <f t="shared" si="59"/>
        <v>1.1875</v>
      </c>
      <c r="GJ37" s="89">
        <f t="shared" si="59"/>
        <v>1.3125</v>
      </c>
      <c r="GK37" s="90">
        <f t="shared" si="59"/>
        <v>8.25</v>
      </c>
      <c r="GN37" s="91"/>
      <c r="GO37" s="92"/>
      <c r="GP37" s="92"/>
      <c r="GQ37" s="92"/>
      <c r="GR37" s="92"/>
      <c r="GS37" s="93"/>
      <c r="GV37" s="88">
        <f>AVERAGE(GV4:GV8,GV10:GV22,GV25:GV28)</f>
        <v>0.45454545454545453</v>
      </c>
      <c r="GW37" s="89">
        <f>AVERAGE(GW4:GW8,GW10:GW22,GW25:GW28)</f>
        <v>2.8863636363636362</v>
      </c>
      <c r="GX37" s="89">
        <f>AVERAGE(GX4:GX8,GX10:GX22,GX25:GX28)</f>
        <v>1.9545454545454546</v>
      </c>
      <c r="GY37" s="89">
        <f>AVERAGE(GY4:GY8,GY10:GY22,GY25:GY28)</f>
        <v>1</v>
      </c>
      <c r="GZ37" s="89">
        <f>AVERAGE(GZ4:GZ8,GZ10:GZ22,GZ25:GZ28)</f>
        <v>0.77272727272727271</v>
      </c>
      <c r="HA37" s="90">
        <f>AVERAGE(HA4:HA8,HA10:HA22,HA25:HA26,HB27:HB28)</f>
        <v>7.1590909090909092</v>
      </c>
      <c r="HD37" s="88">
        <f>AVERAGE(HD4:HD11,HD14:HD22)</f>
        <v>0.6470588235294118</v>
      </c>
      <c r="HE37" s="89">
        <f>AVERAGE(HE4:HE11,HE14:HE22)</f>
        <v>2.9705882352941178</v>
      </c>
      <c r="HF37" s="89">
        <f>AVERAGE(HF4:HF11,HF14:HF22)</f>
        <v>1.2352941176470589</v>
      </c>
      <c r="HG37" s="89">
        <f>AVERAGE(HG4:HG11,HG14:HG22)</f>
        <v>2.0833333333333335</v>
      </c>
      <c r="HH37" s="89">
        <f>AVERAGE(HH4:HH11,HH14:HH22)</f>
        <v>0.94117647058823528</v>
      </c>
      <c r="HI37" s="90">
        <f>AVERAGE(HJ4,HI5:HI6,HJ7,HI8:HI9,HJ10,HI11,HI14:HI19,HJ20,HI21,HJ22)</f>
        <v>7.7352941176470589</v>
      </c>
      <c r="IB37" s="88">
        <f>AVERAGE(IB4:IB9,IB12:IB13,IB18,IB21,IB24,IB27)</f>
        <v>0.91666666666666663</v>
      </c>
      <c r="IC37" s="89">
        <f>AVERAGE(IC4:IC9,IC12:IC13,IC18,IC21,IC24,IC27)</f>
        <v>2.8333333333333335</v>
      </c>
      <c r="ID37" s="89">
        <f>AVERAGE(ID4:ID9,ID12:ID13,ID18,ID21,ID24,ID27)</f>
        <v>2.6666666666666665</v>
      </c>
      <c r="IE37" s="89">
        <f>AVERAGE(IE4:IE9,IE12:IE13,IE18,IE21,IE24,IE27)</f>
        <v>1.6363636363636365</v>
      </c>
      <c r="IF37" s="89">
        <f>AVERAGE(IF4:IF9,IF12:IF13,IF18,IF21,IF24,IF27)</f>
        <v>1.0833333333333333</v>
      </c>
      <c r="IG37" s="90">
        <f>AVERAGE(IG4:IG7,IH8,IG9,IG12:IG13,IG18,IG21,IG24,IG27)</f>
        <v>9.1458333333333339</v>
      </c>
      <c r="IJ37" s="88">
        <v>2</v>
      </c>
      <c r="IK37" s="89">
        <v>3</v>
      </c>
      <c r="IL37" s="89">
        <v>2</v>
      </c>
      <c r="IM37" s="94"/>
      <c r="IN37" s="89">
        <v>2</v>
      </c>
      <c r="IO37" s="90">
        <v>11.25</v>
      </c>
      <c r="IR37" s="88">
        <f t="shared" ref="IR37:IW37" si="60">AVERAGE(IR7:IR10,IR15:IR17,IR19:IR20,IR22:IR24,IR26)</f>
        <v>0.30769230769230771</v>
      </c>
      <c r="IS37" s="89">
        <f t="shared" si="60"/>
        <v>2.7692307692307692</v>
      </c>
      <c r="IT37" s="89">
        <f t="shared" si="60"/>
        <v>2.1538461538461537</v>
      </c>
      <c r="IU37" s="89">
        <f t="shared" si="60"/>
        <v>0.23076923076923078</v>
      </c>
      <c r="IV37" s="89">
        <f t="shared" si="60"/>
        <v>0.30769230769230771</v>
      </c>
      <c r="IW37" s="90">
        <f t="shared" si="60"/>
        <v>5.7692307692307692</v>
      </c>
      <c r="IZ37" s="88">
        <f t="shared" ref="IZ37:JE37" si="61">AVERAGE(IZ4:IZ5,IZ7:IZ15,IZ24)</f>
        <v>0</v>
      </c>
      <c r="JA37" s="89">
        <f t="shared" si="61"/>
        <v>2.875</v>
      </c>
      <c r="JB37" s="89">
        <f t="shared" si="61"/>
        <v>2.4166666666666665</v>
      </c>
      <c r="JC37" s="89">
        <f t="shared" si="61"/>
        <v>8.3333333333333329E-2</v>
      </c>
      <c r="JD37" s="89">
        <f t="shared" si="61"/>
        <v>0.58333333333333337</v>
      </c>
      <c r="JE37" s="90">
        <f t="shared" si="61"/>
        <v>5.958333333333333</v>
      </c>
      <c r="JH37" s="88">
        <f t="shared" ref="JH37:JM37" si="62">AVERAGE(JH4:JH9,JH11:JH17)</f>
        <v>0.76923076923076927</v>
      </c>
      <c r="JI37" s="89">
        <f t="shared" si="62"/>
        <v>2.8461538461538463</v>
      </c>
      <c r="JJ37" s="89">
        <f t="shared" si="62"/>
        <v>2.0769230769230771</v>
      </c>
      <c r="JK37" s="89">
        <f t="shared" si="62"/>
        <v>1</v>
      </c>
      <c r="JL37" s="89">
        <f t="shared" si="62"/>
        <v>0.76923076923076927</v>
      </c>
      <c r="JM37" s="90">
        <f t="shared" si="62"/>
        <v>7.4615384615384617</v>
      </c>
      <c r="JP37" s="88">
        <f t="shared" ref="JP37:JU37" si="63">AVERAGE(JP7,JP9,JP16,JP27)</f>
        <v>1.25</v>
      </c>
      <c r="JQ37" s="89">
        <f t="shared" si="63"/>
        <v>3</v>
      </c>
      <c r="JR37" s="89">
        <f t="shared" si="63"/>
        <v>1.5</v>
      </c>
      <c r="JS37" s="89">
        <f t="shared" si="63"/>
        <v>1.75</v>
      </c>
      <c r="JT37" s="89">
        <f t="shared" si="63"/>
        <v>1</v>
      </c>
      <c r="JU37" s="90">
        <f t="shared" si="63"/>
        <v>8.5</v>
      </c>
      <c r="JW37" s="95"/>
      <c r="JX37" s="88">
        <f t="shared" ref="JX37:KC37" si="64">AVERAGE(JX7,JX13,JX16:JX17,JX20:JX21,JX23:JX25,JX27:JX28)</f>
        <v>0.18181818181818182</v>
      </c>
      <c r="JY37" s="89">
        <f t="shared" si="64"/>
        <v>2.6818181818181817</v>
      </c>
      <c r="JZ37" s="89">
        <f t="shared" si="64"/>
        <v>2.3636363636363638</v>
      </c>
      <c r="KA37" s="89">
        <f t="shared" si="64"/>
        <v>0.36363636363636365</v>
      </c>
      <c r="KB37" s="89">
        <f t="shared" si="64"/>
        <v>0.45454545454545453</v>
      </c>
      <c r="KC37" s="90">
        <f t="shared" si="64"/>
        <v>6.0454545454545459</v>
      </c>
      <c r="KF37" s="88">
        <f t="shared" ref="KF37:KK37" si="65">AVERAGE(KF5,KF7,KF10,KF14,KF16:KF17,KF20:KF22,KF24,KF26:KF27)</f>
        <v>0.33333333333333331</v>
      </c>
      <c r="KG37" s="89">
        <f t="shared" si="65"/>
        <v>2.9166666666666665</v>
      </c>
      <c r="KH37" s="89">
        <f t="shared" si="65"/>
        <v>2.0833333333333335</v>
      </c>
      <c r="KI37" s="89">
        <f t="shared" si="65"/>
        <v>1.0833333333333333</v>
      </c>
      <c r="KJ37" s="89">
        <f t="shared" si="65"/>
        <v>1</v>
      </c>
      <c r="KK37" s="90">
        <f t="shared" si="65"/>
        <v>7.416666666666667</v>
      </c>
      <c r="KN37" s="88">
        <f>AVERAGE(KN4:KN5,KN21,KN23:KN25)</f>
        <v>0.16666666666666666</v>
      </c>
      <c r="KO37" s="89">
        <f>AVERAGE(KO4:KO5,KO21,KO23:KO25)</f>
        <v>2.6666666666666665</v>
      </c>
      <c r="KP37" s="89">
        <f>AVERAGE(KP4:KP5,KP21,KP23:KP25)</f>
        <v>2.3333333333333335</v>
      </c>
      <c r="KQ37" s="89">
        <f>AVERAGE(KQ4:KQ5,KQ21,KQ23:KQ25)</f>
        <v>0.4</v>
      </c>
      <c r="KR37" s="89">
        <f>AVERAGE(KR4:KR5,KR21,KR23:KR25)</f>
        <v>1.1666666666666667</v>
      </c>
      <c r="KS37" s="90">
        <f>AVERAGE(KS4:KS5,KT21,KS23:KS25)</f>
        <v>6.916666666666667</v>
      </c>
      <c r="LD37" s="88">
        <f>AVERAGE(LD4:LD8,LD10:LD13,LD15:LD21,LD23)</f>
        <v>2.3125</v>
      </c>
      <c r="LE37" s="89">
        <f>AVERAGE(LE4:LE8,LE10:LE13,LE15:LE21,LE23)</f>
        <v>3</v>
      </c>
      <c r="LF37" s="89">
        <f>AVERAGE(LF4:LF8,LF10:LF13,LF15:LF21,LF23)</f>
        <v>1.9411764705882353</v>
      </c>
      <c r="LG37" s="89">
        <f>AVERAGE(LG4:LG8,LG10:LG13,LG15:LG21,LG23)</f>
        <v>2.6</v>
      </c>
      <c r="LH37" s="89">
        <f>AVERAGE(LH4:LH8,LH10:LH13,LH15:LH21,LH23)</f>
        <v>2.4705882352941178</v>
      </c>
      <c r="LI37" s="90">
        <f>AVERAGE(LI4,LJ5,LI6,LJ7:LJ8,LJ10,LI11,LJ12:LJ13,LJ15,LI16,LJ17:LJ18,LI19,LJ20:LJ21,LJ23)</f>
        <v>12.259803921568629</v>
      </c>
      <c r="LL37" s="88">
        <f>AVERAGE(LL10:LL16)</f>
        <v>0.7142857142857143</v>
      </c>
      <c r="LM37" s="89">
        <f>AVERAGE(LM10:LM16)</f>
        <v>3</v>
      </c>
      <c r="LN37" s="89">
        <f>AVERAGE(LN10:LN16)</f>
        <v>2.5714285714285716</v>
      </c>
      <c r="LO37" s="89">
        <f>AVERAGE(LO10:LO16)</f>
        <v>0.6</v>
      </c>
      <c r="LP37" s="89">
        <f>AVERAGE(LP10:LP16)</f>
        <v>1.7142857142857142</v>
      </c>
      <c r="LQ37" s="90">
        <f>AVERAGE(LQ10:LQ11,LR12,LQ13,LR14,LQ15:LQ16)</f>
        <v>9.0714285714285712</v>
      </c>
    </row>
    <row r="38" spans="1:329" x14ac:dyDescent="0.35">
      <c r="J38" s="75"/>
      <c r="K38" s="75"/>
      <c r="L38" s="75"/>
      <c r="M38" s="75"/>
      <c r="N38" s="75"/>
      <c r="O38" s="75"/>
      <c r="P38" s="75"/>
      <c r="Q38" s="75"/>
      <c r="EB38" s="88">
        <v>1</v>
      </c>
      <c r="EC38" s="89">
        <v>3</v>
      </c>
      <c r="ED38" s="89">
        <v>2</v>
      </c>
      <c r="EE38" s="92"/>
      <c r="EF38" s="89">
        <v>1</v>
      </c>
      <c r="EG38" s="90">
        <v>8.75</v>
      </c>
      <c r="EJ38" s="88">
        <f>AVERAGE(EJ4,EJ26)</f>
        <v>1</v>
      </c>
      <c r="EK38" s="89">
        <f>AVERAGE(EK4,EK26)</f>
        <v>3</v>
      </c>
      <c r="EL38" s="89">
        <f>AVERAGE(EL4,EL26)</f>
        <v>2</v>
      </c>
      <c r="EM38" s="89">
        <f>AVERAGE(EM4,EM26)</f>
        <v>1</v>
      </c>
      <c r="EN38" s="89">
        <f>AVERAGE(EN4,EN26)</f>
        <v>1</v>
      </c>
      <c r="EO38" s="90">
        <f>AVERAGE(EO4,EP26)</f>
        <v>8.375</v>
      </c>
      <c r="ER38" s="91"/>
      <c r="ES38" s="92"/>
      <c r="ET38" s="92"/>
      <c r="EU38" s="92"/>
      <c r="EV38" s="92"/>
      <c r="EW38" s="90"/>
      <c r="EZ38" s="88">
        <f>AVERAGE(EZ12,EZ14)</f>
        <v>1</v>
      </c>
      <c r="FA38" s="89">
        <f>AVERAGE(FA12,FA14)</f>
        <v>2.5</v>
      </c>
      <c r="FB38" s="89">
        <f>AVERAGE(FB12,FB14)</f>
        <v>1</v>
      </c>
      <c r="FC38" s="89">
        <f>AVERAGE(FC12,FC14)</f>
        <v>2</v>
      </c>
      <c r="FD38" s="89">
        <f>AVERAGE(FD12,FD14)</f>
        <v>1</v>
      </c>
      <c r="FE38" s="90">
        <f>AVERAGE(FE12,FF14)</f>
        <v>7.125</v>
      </c>
      <c r="FH38" s="91"/>
      <c r="FI38" s="92"/>
      <c r="FJ38" s="92"/>
      <c r="FK38" s="92"/>
      <c r="FL38" s="92"/>
      <c r="FM38" s="93"/>
      <c r="FP38" s="88">
        <v>0</v>
      </c>
      <c r="FQ38" s="89">
        <v>3</v>
      </c>
      <c r="FR38" s="89">
        <v>2</v>
      </c>
      <c r="FS38" s="89">
        <v>0</v>
      </c>
      <c r="FT38" s="89">
        <v>1</v>
      </c>
      <c r="FU38" s="90">
        <v>6</v>
      </c>
      <c r="FX38" s="88">
        <f t="shared" ref="FX38:GC38" si="66">AVERAGE(FX9:FX10,FX16,FX19,FX26)</f>
        <v>0.6</v>
      </c>
      <c r="FY38" s="89">
        <f t="shared" si="66"/>
        <v>2.4</v>
      </c>
      <c r="FZ38" s="89">
        <f t="shared" si="66"/>
        <v>1.6</v>
      </c>
      <c r="GA38" s="89">
        <f t="shared" si="66"/>
        <v>1.2</v>
      </c>
      <c r="GB38" s="89">
        <f t="shared" si="66"/>
        <v>0.8</v>
      </c>
      <c r="GC38" s="90">
        <f t="shared" si="66"/>
        <v>6.6</v>
      </c>
      <c r="GF38" s="91"/>
      <c r="GG38" s="92"/>
      <c r="GH38" s="92"/>
      <c r="GI38" s="92"/>
      <c r="GJ38" s="92"/>
      <c r="GK38" s="93"/>
      <c r="GN38" s="88">
        <f t="shared" ref="GN38:GS38" si="67">AVERAGE(GN15,GN18:GN19,GN23)</f>
        <v>0.25</v>
      </c>
      <c r="GO38" s="89">
        <f t="shared" si="67"/>
        <v>2.375</v>
      </c>
      <c r="GP38" s="89">
        <f t="shared" si="67"/>
        <v>1.5</v>
      </c>
      <c r="GQ38" s="89">
        <f t="shared" si="67"/>
        <v>0.75</v>
      </c>
      <c r="GR38" s="89">
        <f t="shared" si="67"/>
        <v>1</v>
      </c>
      <c r="GS38" s="90">
        <f t="shared" si="67"/>
        <v>5.875</v>
      </c>
      <c r="GV38" s="88">
        <v>1</v>
      </c>
      <c r="GW38" s="89">
        <v>3</v>
      </c>
      <c r="GX38" s="89">
        <v>2</v>
      </c>
      <c r="GY38" s="89">
        <v>0</v>
      </c>
      <c r="GZ38" s="89">
        <v>0</v>
      </c>
      <c r="HA38" s="90">
        <v>6</v>
      </c>
      <c r="HD38" s="96"/>
      <c r="HE38" s="94"/>
      <c r="HF38" s="94"/>
      <c r="HG38" s="94"/>
      <c r="HH38" s="94"/>
      <c r="HI38" s="97"/>
      <c r="IB38" s="88">
        <f>AVERAGE(IB16:IB17,IB20,IB22)</f>
        <v>1.5</v>
      </c>
      <c r="IC38" s="89">
        <f>AVERAGE(IC16:IC17,IC20,IC22)</f>
        <v>3</v>
      </c>
      <c r="ID38" s="89">
        <f>AVERAGE(ID16:ID17,ID20,ID22)</f>
        <v>1</v>
      </c>
      <c r="IE38" s="89">
        <f>AVERAGE(IE16:IE17,IE20,IE22)</f>
        <v>1.3333333333333333</v>
      </c>
      <c r="IF38" s="89">
        <f>AVERAGE(IF16:IF17,IF20,IF22)</f>
        <v>1</v>
      </c>
      <c r="IG38" s="90">
        <f>AVERAGE(IH16,IG17,IG20,IG22)</f>
        <v>7.9375</v>
      </c>
      <c r="IJ38" s="96"/>
      <c r="IK38" s="94"/>
      <c r="IL38" s="94"/>
      <c r="IM38" s="94"/>
      <c r="IN38" s="94"/>
      <c r="IO38" s="97"/>
      <c r="IR38" s="96"/>
      <c r="IS38" s="94"/>
      <c r="IT38" s="94"/>
      <c r="IU38" s="94"/>
      <c r="IV38" s="94"/>
      <c r="IW38" s="97"/>
      <c r="IZ38" s="96"/>
      <c r="JA38" s="94"/>
      <c r="JB38" s="94"/>
      <c r="JC38" s="94"/>
      <c r="JD38" s="94"/>
      <c r="JE38" s="97"/>
      <c r="JH38" s="60">
        <v>1</v>
      </c>
      <c r="JI38" s="14">
        <v>3</v>
      </c>
      <c r="JJ38" s="14">
        <v>0</v>
      </c>
      <c r="JK38" s="14">
        <v>1</v>
      </c>
      <c r="JL38" s="14">
        <v>1</v>
      </c>
      <c r="JM38" s="98">
        <v>8</v>
      </c>
      <c r="JP38" s="88">
        <v>1</v>
      </c>
      <c r="JQ38" s="89">
        <v>3</v>
      </c>
      <c r="JR38" s="89">
        <v>2</v>
      </c>
      <c r="JS38" s="89">
        <v>3</v>
      </c>
      <c r="JT38" s="89">
        <v>0</v>
      </c>
      <c r="JU38" s="90">
        <v>9</v>
      </c>
      <c r="JX38" s="88">
        <v>0</v>
      </c>
      <c r="JY38" s="89">
        <v>3</v>
      </c>
      <c r="JZ38" s="89">
        <v>2</v>
      </c>
      <c r="KA38" s="89">
        <v>0</v>
      </c>
      <c r="KB38" s="89">
        <v>0</v>
      </c>
      <c r="KC38" s="90">
        <v>5</v>
      </c>
      <c r="KF38" s="88">
        <f t="shared" ref="KF38:KK38" si="68">AVERAGE(KF8,KF15)</f>
        <v>0</v>
      </c>
      <c r="KG38" s="89">
        <f t="shared" si="68"/>
        <v>3</v>
      </c>
      <c r="KH38" s="89">
        <f t="shared" si="68"/>
        <v>3</v>
      </c>
      <c r="KI38" s="89">
        <f t="shared" si="68"/>
        <v>1</v>
      </c>
      <c r="KJ38" s="89">
        <f t="shared" si="68"/>
        <v>1</v>
      </c>
      <c r="KK38" s="90">
        <f t="shared" si="68"/>
        <v>8</v>
      </c>
      <c r="KN38" s="88">
        <v>0</v>
      </c>
      <c r="KO38" s="89">
        <v>3</v>
      </c>
      <c r="KP38" s="89">
        <v>2</v>
      </c>
      <c r="KQ38" s="89">
        <v>1</v>
      </c>
      <c r="KR38" s="89">
        <v>1</v>
      </c>
      <c r="KS38" s="90">
        <v>7</v>
      </c>
      <c r="LD38" s="96"/>
      <c r="LE38" s="94"/>
      <c r="LF38" s="94"/>
      <c r="LG38" s="94"/>
      <c r="LH38" s="94"/>
      <c r="LI38" s="97"/>
      <c r="LL38" s="96"/>
      <c r="LM38" s="94"/>
      <c r="LN38" s="94"/>
      <c r="LO38" s="94"/>
      <c r="LP38" s="94"/>
      <c r="LQ38" s="97"/>
    </row>
    <row r="39" spans="1:329" x14ac:dyDescent="0.35">
      <c r="J39" s="75"/>
      <c r="K39" s="14"/>
      <c r="L39" s="14"/>
      <c r="M39" s="14"/>
      <c r="N39" s="14"/>
      <c r="O39" s="14"/>
      <c r="P39" s="14"/>
      <c r="Q39" s="75"/>
      <c r="EB39" s="91"/>
      <c r="EC39" s="92"/>
      <c r="ED39" s="92"/>
      <c r="EE39" s="92"/>
      <c r="EF39" s="92"/>
      <c r="EG39" s="93"/>
      <c r="EJ39" s="88">
        <v>0</v>
      </c>
      <c r="EK39" s="89">
        <v>2</v>
      </c>
      <c r="EL39" s="89">
        <v>2</v>
      </c>
      <c r="EM39" s="89">
        <v>1</v>
      </c>
      <c r="EN39" s="89">
        <v>1</v>
      </c>
      <c r="EO39" s="90">
        <v>6</v>
      </c>
      <c r="ER39" s="99">
        <v>2</v>
      </c>
      <c r="ES39" s="92"/>
      <c r="ET39" s="89">
        <v>1</v>
      </c>
      <c r="EU39" s="92"/>
      <c r="EV39" s="89">
        <v>1</v>
      </c>
      <c r="EW39" s="90">
        <v>6.67</v>
      </c>
      <c r="EZ39" s="88">
        <f t="shared" ref="EZ39:FE39" si="69">AVERAGE(EZ5,EZ18:EZ19)</f>
        <v>0.66666666666666663</v>
      </c>
      <c r="FA39" s="89">
        <f t="shared" si="69"/>
        <v>3</v>
      </c>
      <c r="FB39" s="89">
        <f t="shared" si="69"/>
        <v>2</v>
      </c>
      <c r="FC39" s="89">
        <f t="shared" si="69"/>
        <v>1.3333333333333333</v>
      </c>
      <c r="FD39" s="89">
        <f t="shared" si="69"/>
        <v>0.66666666666666663</v>
      </c>
      <c r="FE39" s="90">
        <f t="shared" si="69"/>
        <v>7.666666666666667</v>
      </c>
      <c r="FH39" s="88">
        <f>AVERAGE(FH4:FH6,FH9,FH13:FH28)</f>
        <v>1.85</v>
      </c>
      <c r="FI39" s="89">
        <f>AVERAGE(FI4:FI6,FI9,FI13:FI28)</f>
        <v>2.8</v>
      </c>
      <c r="FJ39" s="89">
        <f>AVERAGE(FJ4:FJ6,FJ9,FJ13:FJ28)</f>
        <v>2</v>
      </c>
      <c r="FK39" s="89">
        <f>AVERAGE(FK4:FK6,FK9,FK13:FK28)</f>
        <v>1.9285714285714286</v>
      </c>
      <c r="FL39" s="89">
        <f>AVERAGE(FL4:FL6,FL9,FL13:FL28)</f>
        <v>1.2</v>
      </c>
      <c r="FM39" s="90">
        <f>AVERAGE(FM4:FM6,FM9,FN13:FN14,FM15:FM17,FN18,FM19,FN20,FM21:FM24,FN25:FN26,FM27:FM28)</f>
        <v>9.8249999999999993</v>
      </c>
      <c r="FP39" s="88">
        <v>0</v>
      </c>
      <c r="FQ39" s="89">
        <v>3</v>
      </c>
      <c r="FR39" s="89">
        <v>3</v>
      </c>
      <c r="FS39" s="89">
        <v>2</v>
      </c>
      <c r="FT39" s="89">
        <v>1</v>
      </c>
      <c r="FU39" s="90">
        <v>9</v>
      </c>
      <c r="FX39" s="88">
        <f t="shared" ref="FX39:GC39" si="70">AVERAGE(FX13:FX14,FX23:FX24,FX27)</f>
        <v>1</v>
      </c>
      <c r="FY39" s="89">
        <f t="shared" si="70"/>
        <v>2.2000000000000002</v>
      </c>
      <c r="FZ39" s="89">
        <f t="shared" si="70"/>
        <v>2.8</v>
      </c>
      <c r="GA39" s="89">
        <f t="shared" si="70"/>
        <v>2.2000000000000002</v>
      </c>
      <c r="GB39" s="89">
        <f t="shared" si="70"/>
        <v>1.8</v>
      </c>
      <c r="GC39" s="90">
        <f t="shared" si="70"/>
        <v>10</v>
      </c>
      <c r="GF39" s="91"/>
      <c r="GG39" s="92"/>
      <c r="GH39" s="92"/>
      <c r="GI39" s="92"/>
      <c r="GJ39" s="92"/>
      <c r="GK39" s="93"/>
      <c r="GN39" s="91"/>
      <c r="GO39" s="92"/>
      <c r="GP39" s="92"/>
      <c r="GQ39" s="92"/>
      <c r="GR39" s="92"/>
      <c r="GS39" s="93"/>
      <c r="GV39" s="96"/>
      <c r="GW39" s="94"/>
      <c r="GX39" s="94"/>
      <c r="GY39" s="94"/>
      <c r="GZ39" s="94"/>
      <c r="HA39" s="97"/>
      <c r="HD39" s="88">
        <v>2</v>
      </c>
      <c r="HE39" s="89">
        <v>2.5</v>
      </c>
      <c r="HF39" s="89">
        <v>2</v>
      </c>
      <c r="HG39" s="89">
        <v>2</v>
      </c>
      <c r="HH39" s="89">
        <v>1</v>
      </c>
      <c r="HI39" s="90">
        <v>9.5</v>
      </c>
      <c r="IB39" s="88">
        <f t="shared" ref="IB39:IG39" si="71">AVERAGE(IB19,IB23,IB25)</f>
        <v>1.6666666666666667</v>
      </c>
      <c r="IC39" s="89">
        <f t="shared" si="71"/>
        <v>2.6666666666666665</v>
      </c>
      <c r="ID39" s="89">
        <f t="shared" si="71"/>
        <v>1.6666666666666667</v>
      </c>
      <c r="IE39" s="89">
        <f t="shared" si="71"/>
        <v>2</v>
      </c>
      <c r="IF39" s="89">
        <f t="shared" si="71"/>
        <v>1.3333333333333333</v>
      </c>
      <c r="IG39" s="90">
        <f t="shared" si="71"/>
        <v>9.3333333333333339</v>
      </c>
      <c r="IJ39" s="96"/>
      <c r="IK39" s="94"/>
      <c r="IL39" s="94"/>
      <c r="IM39" s="94"/>
      <c r="IN39" s="94"/>
      <c r="IO39" s="97"/>
      <c r="IR39" s="96"/>
      <c r="IS39" s="94"/>
      <c r="IT39" s="94"/>
      <c r="IU39" s="94"/>
      <c r="IV39" s="94"/>
      <c r="IW39" s="97"/>
      <c r="IZ39" s="96"/>
      <c r="JA39" s="94"/>
      <c r="JB39" s="94"/>
      <c r="JC39" s="94"/>
      <c r="JD39" s="94"/>
      <c r="JE39" s="97"/>
      <c r="JH39" s="100"/>
      <c r="JI39" s="101"/>
      <c r="JJ39" s="101"/>
      <c r="JK39" s="101"/>
      <c r="JL39" s="101"/>
      <c r="JM39" s="102"/>
      <c r="JP39" s="88">
        <f t="shared" ref="JP39:JU39" si="72">AVERAGE(JP8,JP10:JP11,JP13:JP15,JP17,JP19:JP20)</f>
        <v>1.5555555555555556</v>
      </c>
      <c r="JQ39" s="89">
        <f t="shared" si="72"/>
        <v>3</v>
      </c>
      <c r="JR39" s="89">
        <f t="shared" si="72"/>
        <v>2.1111111111111112</v>
      </c>
      <c r="JS39" s="89">
        <f t="shared" si="72"/>
        <v>2.4444444444444446</v>
      </c>
      <c r="JT39" s="89">
        <f t="shared" si="72"/>
        <v>1.3333333333333333</v>
      </c>
      <c r="JU39" s="90">
        <f t="shared" si="72"/>
        <v>10.444444444444445</v>
      </c>
      <c r="JX39" s="88">
        <f t="shared" ref="JX39:KC39" si="73">AVERAGE(JX9,JX14)</f>
        <v>1</v>
      </c>
      <c r="JY39" s="89">
        <f t="shared" si="73"/>
        <v>3</v>
      </c>
      <c r="JZ39" s="89">
        <f t="shared" si="73"/>
        <v>2.5</v>
      </c>
      <c r="KA39" s="89">
        <f t="shared" si="73"/>
        <v>1.5</v>
      </c>
      <c r="KB39" s="89">
        <f t="shared" si="73"/>
        <v>1.5</v>
      </c>
      <c r="KC39" s="90">
        <f t="shared" si="73"/>
        <v>9.5</v>
      </c>
      <c r="KF39" s="96"/>
      <c r="KG39" s="94"/>
      <c r="KH39" s="94"/>
      <c r="KI39" s="94"/>
      <c r="KJ39" s="94"/>
      <c r="KK39" s="97"/>
      <c r="KN39" s="96"/>
      <c r="KO39" s="94"/>
      <c r="KP39" s="94"/>
      <c r="KQ39" s="94"/>
      <c r="KR39" s="94"/>
      <c r="KS39" s="97"/>
      <c r="LD39" s="88">
        <v>2</v>
      </c>
      <c r="LE39" s="89">
        <v>3</v>
      </c>
      <c r="LF39" s="89">
        <v>2</v>
      </c>
      <c r="LG39" s="94"/>
      <c r="LH39" s="89">
        <v>3</v>
      </c>
      <c r="LI39" s="90">
        <v>10</v>
      </c>
      <c r="LL39" s="96"/>
      <c r="LM39" s="94"/>
      <c r="LN39" s="94"/>
      <c r="LO39" s="94"/>
      <c r="LP39" s="94"/>
      <c r="LQ39" s="97"/>
    </row>
    <row r="40" spans="1:329" x14ac:dyDescent="0.35">
      <c r="J40" s="75"/>
      <c r="K40" s="14"/>
      <c r="L40" s="14"/>
      <c r="M40" s="14"/>
      <c r="N40" s="14"/>
      <c r="O40" s="14"/>
      <c r="P40" s="14"/>
      <c r="Q40" s="75"/>
      <c r="EB40" s="103"/>
      <c r="EC40" s="104"/>
      <c r="ED40" s="104"/>
      <c r="EE40" s="104"/>
      <c r="EF40" s="104"/>
      <c r="EG40" s="105"/>
      <c r="EJ40" s="103"/>
      <c r="EK40" s="104"/>
      <c r="EL40" s="104"/>
      <c r="EM40" s="104"/>
      <c r="EN40" s="104"/>
      <c r="EO40" s="105"/>
      <c r="ER40" s="103"/>
      <c r="ES40" s="104"/>
      <c r="ET40" s="104"/>
      <c r="EU40" s="104"/>
      <c r="EV40" s="104"/>
      <c r="EW40" s="106"/>
      <c r="EZ40" s="103"/>
      <c r="FA40" s="104"/>
      <c r="FB40" s="104"/>
      <c r="FC40" s="104"/>
      <c r="FD40" s="104"/>
      <c r="FE40" s="105"/>
      <c r="FH40" s="103"/>
      <c r="FI40" s="104"/>
      <c r="FJ40" s="104"/>
      <c r="FK40" s="104"/>
      <c r="FL40" s="104"/>
      <c r="FM40" s="105"/>
      <c r="FP40" s="103"/>
      <c r="FQ40" s="104"/>
      <c r="FR40" s="104"/>
      <c r="FS40" s="104"/>
      <c r="FT40" s="104"/>
      <c r="FU40" s="105"/>
      <c r="FX40" s="103"/>
      <c r="FY40" s="104"/>
      <c r="FZ40" s="104"/>
      <c r="GA40" s="104"/>
      <c r="GB40" s="104"/>
      <c r="GC40" s="105"/>
      <c r="GF40" s="103"/>
      <c r="GG40" s="104"/>
      <c r="GH40" s="104"/>
      <c r="GI40" s="104"/>
      <c r="GJ40" s="104"/>
      <c r="GK40" s="105"/>
      <c r="GN40" s="103"/>
      <c r="GO40" s="104"/>
      <c r="GP40" s="104"/>
      <c r="GQ40" s="104"/>
      <c r="GR40" s="104"/>
      <c r="GS40" s="105"/>
      <c r="GV40" s="107"/>
      <c r="GW40" s="108"/>
      <c r="GX40" s="108"/>
      <c r="GY40" s="108"/>
      <c r="GZ40" s="108"/>
      <c r="HA40" s="109"/>
      <c r="HD40" s="107"/>
      <c r="HE40" s="108"/>
      <c r="HF40" s="108"/>
      <c r="HG40" s="108"/>
      <c r="HH40" s="108"/>
      <c r="HI40" s="109"/>
      <c r="IB40" s="107"/>
      <c r="IC40" s="108"/>
      <c r="ID40" s="108"/>
      <c r="IE40" s="108"/>
      <c r="IF40" s="108"/>
      <c r="IG40" s="109"/>
      <c r="IJ40" s="110">
        <f t="shared" ref="IJ40:IO40" si="74">AVERAGE(IJ5:IJ8)</f>
        <v>0.5</v>
      </c>
      <c r="IK40" s="111">
        <f t="shared" si="74"/>
        <v>2.25</v>
      </c>
      <c r="IL40" s="111">
        <f t="shared" si="74"/>
        <v>2.75</v>
      </c>
      <c r="IM40" s="111">
        <f t="shared" si="74"/>
        <v>1</v>
      </c>
      <c r="IN40" s="111">
        <f t="shared" si="74"/>
        <v>1</v>
      </c>
      <c r="IO40" s="106">
        <f t="shared" si="74"/>
        <v>7.5</v>
      </c>
      <c r="IR40" s="110">
        <f t="shared" ref="IR40:IW40" si="75">AVERAGE(IR6,IR18,IR21)</f>
        <v>0.33333333333333331</v>
      </c>
      <c r="IS40" s="111">
        <f t="shared" si="75"/>
        <v>2.6666666666666665</v>
      </c>
      <c r="IT40" s="111">
        <f t="shared" si="75"/>
        <v>3</v>
      </c>
      <c r="IU40" s="111">
        <f t="shared" si="75"/>
        <v>0.66666666666666663</v>
      </c>
      <c r="IV40" s="111">
        <f t="shared" si="75"/>
        <v>1</v>
      </c>
      <c r="IW40" s="106">
        <f t="shared" si="75"/>
        <v>7.666666666666667</v>
      </c>
      <c r="IZ40" s="107"/>
      <c r="JA40" s="108"/>
      <c r="JB40" s="108"/>
      <c r="JC40" s="108"/>
      <c r="JD40" s="108"/>
      <c r="JE40" s="109"/>
      <c r="JH40" s="112"/>
      <c r="JI40" s="113"/>
      <c r="JJ40" s="113"/>
      <c r="JK40" s="113"/>
      <c r="JL40" s="113"/>
      <c r="JM40" s="114"/>
      <c r="JP40" s="107"/>
      <c r="JQ40" s="108"/>
      <c r="JR40" s="108"/>
      <c r="JS40" s="108"/>
      <c r="JT40" s="108"/>
      <c r="JU40" s="109"/>
      <c r="JX40" s="107"/>
      <c r="JY40" s="108"/>
      <c r="JZ40" s="108"/>
      <c r="KA40" s="108"/>
      <c r="KB40" s="108"/>
      <c r="KC40" s="109"/>
      <c r="KF40" s="107"/>
      <c r="KG40" s="108"/>
      <c r="KH40" s="108"/>
      <c r="KI40" s="108"/>
      <c r="KJ40" s="108"/>
      <c r="KK40" s="109"/>
      <c r="KN40" s="110">
        <v>0</v>
      </c>
      <c r="KO40" s="111">
        <v>3</v>
      </c>
      <c r="KP40" s="111">
        <v>3</v>
      </c>
      <c r="KQ40" s="111">
        <v>1</v>
      </c>
      <c r="KR40" s="111">
        <v>1</v>
      </c>
      <c r="KS40" s="106">
        <v>8</v>
      </c>
      <c r="LD40" s="110">
        <v>2</v>
      </c>
      <c r="LE40" s="111">
        <v>3</v>
      </c>
      <c r="LF40" s="111">
        <v>3</v>
      </c>
      <c r="LG40" s="111">
        <v>3</v>
      </c>
      <c r="LH40" s="111">
        <v>3</v>
      </c>
      <c r="LI40" s="106">
        <v>14</v>
      </c>
      <c r="LL40" s="107"/>
      <c r="LM40" s="108"/>
      <c r="LN40" s="108"/>
      <c r="LO40" s="108"/>
      <c r="LP40" s="108"/>
      <c r="LQ40" s="109"/>
    </row>
    <row r="41" spans="1:329" x14ac:dyDescent="0.35">
      <c r="J41" s="75"/>
      <c r="K41" s="14"/>
      <c r="L41" s="14"/>
      <c r="M41" s="14"/>
      <c r="N41" s="14"/>
      <c r="O41" s="14"/>
      <c r="P41" s="14"/>
      <c r="Q41" s="75"/>
    </row>
    <row r="42" spans="1:329" x14ac:dyDescent="0.35">
      <c r="J42" s="75"/>
      <c r="K42" s="14"/>
      <c r="L42" s="14"/>
      <c r="M42" s="14"/>
      <c r="N42" s="14"/>
      <c r="O42" s="14"/>
      <c r="P42" s="14"/>
      <c r="Q42" s="75"/>
    </row>
    <row r="43" spans="1:329" x14ac:dyDescent="0.35">
      <c r="J43" s="75"/>
      <c r="K43" s="14"/>
      <c r="L43" s="14"/>
      <c r="M43" s="14"/>
      <c r="N43" s="14"/>
      <c r="O43" s="14"/>
      <c r="P43" s="14"/>
      <c r="Q43" s="75"/>
    </row>
    <row r="44" spans="1:329" x14ac:dyDescent="0.35">
      <c r="J44" s="75"/>
      <c r="K44" s="14"/>
      <c r="L44" s="14"/>
      <c r="M44" s="14"/>
      <c r="N44" s="14"/>
      <c r="O44" s="14"/>
      <c r="P44" s="14"/>
      <c r="Q44" s="75"/>
    </row>
    <row r="45" spans="1:329" x14ac:dyDescent="0.35">
      <c r="J45" s="75"/>
      <c r="K45" s="14"/>
      <c r="L45" s="14"/>
      <c r="M45" s="14"/>
      <c r="N45" s="14"/>
      <c r="O45" s="14"/>
      <c r="P45" s="14"/>
      <c r="Q45" s="75"/>
    </row>
    <row r="46" spans="1:329" x14ac:dyDescent="0.35">
      <c r="J46" s="75"/>
      <c r="K46" s="14"/>
      <c r="L46" s="14"/>
      <c r="M46" s="14"/>
      <c r="N46" s="14"/>
      <c r="O46" s="14"/>
      <c r="P46" s="14"/>
      <c r="Q46" s="75"/>
    </row>
    <row r="47" spans="1:329" x14ac:dyDescent="0.35">
      <c r="J47" s="75"/>
      <c r="K47" s="14"/>
      <c r="L47" s="14"/>
      <c r="M47" s="14"/>
      <c r="N47" s="14"/>
      <c r="O47" s="14"/>
      <c r="P47" s="14"/>
      <c r="Q47" s="75"/>
    </row>
    <row r="48" spans="1:329" x14ac:dyDescent="0.35">
      <c r="J48" s="75"/>
      <c r="K48" s="75"/>
      <c r="L48" s="75"/>
      <c r="M48" s="14"/>
      <c r="N48" s="14"/>
      <c r="O48" s="75"/>
      <c r="P48" s="75"/>
      <c r="Q48" s="75"/>
    </row>
    <row r="49" spans="10:17" x14ac:dyDescent="0.35">
      <c r="J49" s="75"/>
      <c r="K49" s="75"/>
      <c r="L49" s="75"/>
      <c r="M49" s="75"/>
      <c r="N49" s="75"/>
      <c r="O49" s="75"/>
      <c r="P49" s="75"/>
      <c r="Q49" s="75"/>
    </row>
    <row r="50" spans="10:17" x14ac:dyDescent="0.35">
      <c r="J50" s="75"/>
      <c r="K50" s="75"/>
      <c r="L50" s="75"/>
      <c r="M50" s="75"/>
      <c r="N50" s="75"/>
      <c r="O50" s="75"/>
      <c r="P50" s="75"/>
      <c r="Q50" s="75"/>
    </row>
    <row r="51" spans="10:17" x14ac:dyDescent="0.35">
      <c r="J51" s="75"/>
      <c r="K51" s="75"/>
      <c r="L51" s="75"/>
      <c r="M51" s="75"/>
      <c r="N51" s="75"/>
      <c r="O51" s="75"/>
      <c r="P51" s="75"/>
      <c r="Q51" s="75"/>
    </row>
    <row r="52" spans="10:17" x14ac:dyDescent="0.35">
      <c r="J52" s="75"/>
      <c r="K52" s="75"/>
      <c r="L52" s="75"/>
      <c r="M52" s="75"/>
      <c r="N52" s="75"/>
      <c r="O52" s="75"/>
      <c r="P52" s="75"/>
      <c r="Q52" s="75"/>
    </row>
  </sheetData>
  <mergeCells count="5">
    <mergeCell ref="B32:C32"/>
    <mergeCell ref="B33:C33"/>
    <mergeCell ref="B34:C34"/>
    <mergeCell ref="B35:C35"/>
    <mergeCell ref="B36:C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V34"/>
  <sheetViews>
    <sheetView tabSelected="1" topLeftCell="RY1" zoomScale="50" zoomScaleNormal="50" workbookViewId="0">
      <selection activeCell="SQ33" sqref="SQ33"/>
    </sheetView>
  </sheetViews>
  <sheetFormatPr defaultRowHeight="14.5" x14ac:dyDescent="0.35"/>
  <cols>
    <col min="2" max="2" width="13.7265625" customWidth="1"/>
    <col min="11" max="11" width="13.7265625" customWidth="1"/>
    <col min="20" max="20" width="13.7265625" customWidth="1"/>
    <col min="28" max="28" width="13.7265625" customWidth="1"/>
    <col min="36" max="36" width="13.7265625" customWidth="1"/>
    <col min="45" max="45" width="13.7265625" customWidth="1"/>
    <col min="54" max="54" width="13.7265625" customWidth="1"/>
    <col min="63" max="63" width="13.7265625" customWidth="1"/>
    <col min="72" max="72" width="13.7265625" customWidth="1"/>
    <col min="80" max="80" width="13.7265625" customWidth="1"/>
    <col min="88" max="88" width="13.7265625" customWidth="1"/>
    <col min="97" max="97" width="13.7265625" customWidth="1"/>
    <col min="106" max="106" width="13.7265625" customWidth="1"/>
    <col min="115" max="115" width="13.7265625" customWidth="1"/>
    <col min="124" max="124" width="13.7265625" customWidth="1"/>
    <col min="133" max="133" width="13.7265625" customWidth="1"/>
    <col min="142" max="142" width="13.7265625" customWidth="1"/>
    <col min="151" max="151" width="13.7265625" customWidth="1"/>
    <col min="160" max="160" width="13.7265625" customWidth="1"/>
    <col min="169" max="169" width="13.7265625" customWidth="1"/>
    <col min="189" max="189" width="12.08984375" customWidth="1"/>
    <col min="220" max="220" width="8.7265625" customWidth="1"/>
    <col min="229" max="229" width="8.7265625" customWidth="1"/>
    <col min="238" max="238" width="8.7265625" customWidth="1"/>
    <col min="247" max="247" width="8.7265625" customWidth="1"/>
    <col min="256" max="256" width="8.7265625" customWidth="1"/>
    <col min="265" max="265" width="8.7265625" customWidth="1"/>
    <col min="274" max="274" width="8.7265625" customWidth="1"/>
    <col min="283" max="283" width="8.7265625" customWidth="1"/>
    <col min="292" max="292" width="8.7265625" customWidth="1"/>
    <col min="301" max="301" width="8.7265625" customWidth="1"/>
    <col min="310" max="310" width="8.7265625" customWidth="1"/>
    <col min="319" max="319" width="8.7265625" customWidth="1"/>
    <col min="329" max="329" width="8.7265625" customWidth="1"/>
    <col min="338" max="338" width="8.7265625" customWidth="1"/>
    <col min="347" max="347" width="8.7265625" customWidth="1"/>
    <col min="356" max="356" width="8.7265625" customWidth="1"/>
    <col min="365" max="365" width="8.7265625" customWidth="1"/>
    <col min="374" max="374" width="8.7265625" customWidth="1"/>
    <col min="383" max="383" width="8.7265625" customWidth="1"/>
    <col min="392" max="392" width="8.7265625" customWidth="1"/>
    <col min="401" max="401" width="8.7265625" customWidth="1"/>
    <col min="410" max="410" width="8.7265625" customWidth="1"/>
    <col min="419" max="419" width="8.7265625" customWidth="1"/>
    <col min="428" max="428" width="8.7265625" customWidth="1"/>
    <col min="444" max="444" width="8.7265625" customWidth="1"/>
    <col min="453" max="453" width="8.7265625" customWidth="1"/>
  </cols>
  <sheetData>
    <row r="1" spans="2:594" x14ac:dyDescent="0.35">
      <c r="B1" s="1" t="s">
        <v>256</v>
      </c>
      <c r="K1" s="1" t="s">
        <v>68</v>
      </c>
      <c r="T1" s="1" t="s">
        <v>1</v>
      </c>
      <c r="AB1" s="1" t="s">
        <v>229</v>
      </c>
      <c r="AJ1" s="1" t="s">
        <v>230</v>
      </c>
      <c r="AS1" s="1" t="s">
        <v>2</v>
      </c>
      <c r="BB1" s="1" t="s">
        <v>3</v>
      </c>
      <c r="BK1" s="1" t="s">
        <v>4</v>
      </c>
      <c r="BT1" s="1" t="s">
        <v>5</v>
      </c>
      <c r="CB1" s="1" t="s">
        <v>6</v>
      </c>
      <c r="CJ1" s="1" t="s">
        <v>231</v>
      </c>
      <c r="CS1" s="1" t="s">
        <v>232</v>
      </c>
      <c r="DB1" s="1" t="s">
        <v>233</v>
      </c>
      <c r="DK1" s="1" t="s">
        <v>234</v>
      </c>
      <c r="DT1" s="1" t="s">
        <v>235</v>
      </c>
      <c r="EC1" s="1" t="s">
        <v>236</v>
      </c>
      <c r="EL1" s="1" t="s">
        <v>226</v>
      </c>
      <c r="EU1" s="1" t="s">
        <v>228</v>
      </c>
      <c r="FD1" s="1" t="s">
        <v>227</v>
      </c>
      <c r="FM1" s="1" t="s">
        <v>237</v>
      </c>
      <c r="FV1" s="1" t="s">
        <v>7</v>
      </c>
      <c r="GE1" s="1" t="s">
        <v>238</v>
      </c>
      <c r="GN1" s="1" t="s">
        <v>239</v>
      </c>
      <c r="GW1" s="1" t="s">
        <v>8</v>
      </c>
      <c r="HF1" s="1" t="s">
        <v>9</v>
      </c>
      <c r="HO1" s="1" t="s">
        <v>10</v>
      </c>
      <c r="HX1" s="1" t="s">
        <v>11</v>
      </c>
      <c r="IG1" s="1" t="s">
        <v>12</v>
      </c>
      <c r="IP1" s="1" t="s">
        <v>13</v>
      </c>
      <c r="IY1" s="1" t="s">
        <v>14</v>
      </c>
      <c r="JH1" s="1" t="s">
        <v>240</v>
      </c>
      <c r="JQ1" s="1" t="s">
        <v>15</v>
      </c>
      <c r="JZ1" s="1" t="s">
        <v>16</v>
      </c>
      <c r="KI1" s="1" t="s">
        <v>241</v>
      </c>
      <c r="KR1" s="1" t="s">
        <v>17</v>
      </c>
      <c r="LA1" s="1" t="s">
        <v>18</v>
      </c>
      <c r="LK1" s="1" t="s">
        <v>242</v>
      </c>
      <c r="LT1" s="1" t="s">
        <v>19</v>
      </c>
      <c r="MC1" s="1" t="s">
        <v>20</v>
      </c>
      <c r="ML1" s="1" t="s">
        <v>243</v>
      </c>
      <c r="MU1" s="1" t="s">
        <v>21</v>
      </c>
      <c r="ND1" s="1" t="s">
        <v>22</v>
      </c>
      <c r="NM1" s="1" t="s">
        <v>23</v>
      </c>
      <c r="NV1" s="1" t="s">
        <v>244</v>
      </c>
      <c r="OE1" s="1" t="s">
        <v>245</v>
      </c>
      <c r="ON1" s="1" t="s">
        <v>24</v>
      </c>
      <c r="OW1" s="1" t="s">
        <v>65</v>
      </c>
      <c r="PF1" s="1" t="s">
        <v>66</v>
      </c>
      <c r="PO1" s="1" t="s">
        <v>255</v>
      </c>
      <c r="PV1" s="1" t="s">
        <v>64</v>
      </c>
      <c r="QE1" s="1" t="s">
        <v>59</v>
      </c>
      <c r="QN1" s="1" t="s">
        <v>254</v>
      </c>
      <c r="QW1" s="1" t="s">
        <v>253</v>
      </c>
      <c r="RF1" s="1" t="s">
        <v>67</v>
      </c>
      <c r="RO1" s="1" t="s">
        <v>62</v>
      </c>
      <c r="RX1" s="1" t="s">
        <v>63</v>
      </c>
      <c r="SG1" s="1" t="s">
        <v>60</v>
      </c>
      <c r="SP1" s="1" t="s">
        <v>61</v>
      </c>
      <c r="SY1" s="1" t="s">
        <v>58</v>
      </c>
      <c r="TH1" s="1" t="s">
        <v>57</v>
      </c>
      <c r="TQ1" s="1" t="s">
        <v>252</v>
      </c>
      <c r="TX1" s="1" t="s">
        <v>56</v>
      </c>
      <c r="UG1" s="1" t="s">
        <v>251</v>
      </c>
      <c r="UN1" s="1" t="s">
        <v>55</v>
      </c>
      <c r="UW1" s="1" t="s">
        <v>47</v>
      </c>
      <c r="VF1" s="1" t="s">
        <v>48</v>
      </c>
      <c r="VO1" s="1" t="s">
        <v>46</v>
      </c>
    </row>
    <row r="2" spans="2:594" ht="35.5" customHeight="1" x14ac:dyDescent="0.35">
      <c r="B2" s="192" t="s">
        <v>25</v>
      </c>
      <c r="C2" s="3" t="s">
        <v>26</v>
      </c>
      <c r="D2" s="3" t="s">
        <v>27</v>
      </c>
      <c r="E2" s="3" t="s">
        <v>246</v>
      </c>
      <c r="F2" s="3" t="s">
        <v>29</v>
      </c>
      <c r="G2" s="4" t="s">
        <v>30</v>
      </c>
      <c r="H2" s="5" t="s">
        <v>247</v>
      </c>
      <c r="I2" s="5" t="s">
        <v>248</v>
      </c>
      <c r="K2" s="192" t="s">
        <v>25</v>
      </c>
      <c r="L2" s="3" t="s">
        <v>26</v>
      </c>
      <c r="M2" s="3" t="s">
        <v>27</v>
      </c>
      <c r="N2" s="3" t="s">
        <v>246</v>
      </c>
      <c r="O2" s="3" t="s">
        <v>29</v>
      </c>
      <c r="P2" s="4" t="s">
        <v>30</v>
      </c>
      <c r="Q2" s="5" t="s">
        <v>247</v>
      </c>
      <c r="R2" s="5" t="s">
        <v>248</v>
      </c>
      <c r="T2" s="192" t="s">
        <v>25</v>
      </c>
      <c r="U2" s="3" t="s">
        <v>26</v>
      </c>
      <c r="V2" s="3" t="s">
        <v>27</v>
      </c>
      <c r="W2" s="3" t="s">
        <v>246</v>
      </c>
      <c r="X2" s="3" t="s">
        <v>29</v>
      </c>
      <c r="Y2" s="3" t="s">
        <v>247</v>
      </c>
      <c r="Z2" s="4" t="s">
        <v>30</v>
      </c>
      <c r="AB2" s="192" t="s">
        <v>25</v>
      </c>
      <c r="AC2" s="3" t="s">
        <v>26</v>
      </c>
      <c r="AD2" s="3" t="s">
        <v>27</v>
      </c>
      <c r="AE2" s="3" t="s">
        <v>246</v>
      </c>
      <c r="AF2" s="3" t="s">
        <v>29</v>
      </c>
      <c r="AG2" s="3" t="s">
        <v>247</v>
      </c>
      <c r="AH2" s="4" t="s">
        <v>30</v>
      </c>
      <c r="AJ2" s="192" t="s">
        <v>25</v>
      </c>
      <c r="AK2" s="3" t="s">
        <v>26</v>
      </c>
      <c r="AL2" s="3" t="s">
        <v>27</v>
      </c>
      <c r="AM2" s="3" t="s">
        <v>246</v>
      </c>
      <c r="AN2" s="3" t="s">
        <v>29</v>
      </c>
      <c r="AO2" s="4" t="s">
        <v>30</v>
      </c>
      <c r="AP2" s="5" t="s">
        <v>247</v>
      </c>
      <c r="AQ2" s="5" t="s">
        <v>248</v>
      </c>
      <c r="AS2" s="192" t="s">
        <v>25</v>
      </c>
      <c r="AT2" s="3" t="s">
        <v>26</v>
      </c>
      <c r="AU2" s="3" t="s">
        <v>27</v>
      </c>
      <c r="AV2" s="3" t="s">
        <v>246</v>
      </c>
      <c r="AW2" s="3" t="s">
        <v>29</v>
      </c>
      <c r="AX2" s="4" t="s">
        <v>30</v>
      </c>
      <c r="AY2" s="5" t="s">
        <v>247</v>
      </c>
      <c r="AZ2" s="5" t="s">
        <v>248</v>
      </c>
      <c r="BB2" s="192" t="s">
        <v>25</v>
      </c>
      <c r="BC2" s="3" t="s">
        <v>26</v>
      </c>
      <c r="BD2" s="3" t="s">
        <v>27</v>
      </c>
      <c r="BE2" s="3" t="s">
        <v>246</v>
      </c>
      <c r="BF2" s="3" t="s">
        <v>29</v>
      </c>
      <c r="BG2" s="4" t="s">
        <v>30</v>
      </c>
      <c r="BH2" s="5" t="s">
        <v>247</v>
      </c>
      <c r="BI2" s="5" t="s">
        <v>248</v>
      </c>
      <c r="BK2" s="192" t="s">
        <v>25</v>
      </c>
      <c r="BL2" s="3" t="s">
        <v>26</v>
      </c>
      <c r="BM2" s="3" t="s">
        <v>27</v>
      </c>
      <c r="BN2" s="3" t="s">
        <v>246</v>
      </c>
      <c r="BO2" s="3" t="s">
        <v>29</v>
      </c>
      <c r="BP2" s="4" t="s">
        <v>30</v>
      </c>
      <c r="BQ2" s="5" t="s">
        <v>247</v>
      </c>
      <c r="BR2" s="5" t="s">
        <v>248</v>
      </c>
      <c r="BT2" s="192" t="s">
        <v>25</v>
      </c>
      <c r="BU2" s="3" t="s">
        <v>26</v>
      </c>
      <c r="BV2" s="3" t="s">
        <v>27</v>
      </c>
      <c r="BW2" s="3" t="s">
        <v>246</v>
      </c>
      <c r="BX2" s="3" t="s">
        <v>29</v>
      </c>
      <c r="BY2" s="4" t="s">
        <v>30</v>
      </c>
      <c r="CB2" s="192" t="s">
        <v>25</v>
      </c>
      <c r="CC2" s="3" t="s">
        <v>26</v>
      </c>
      <c r="CD2" s="3" t="s">
        <v>27</v>
      </c>
      <c r="CE2" s="3" t="s">
        <v>246</v>
      </c>
      <c r="CF2" s="3" t="s">
        <v>29</v>
      </c>
      <c r="CG2" s="4" t="s">
        <v>30</v>
      </c>
      <c r="CJ2" s="192" t="s">
        <v>25</v>
      </c>
      <c r="CK2" s="3" t="s">
        <v>26</v>
      </c>
      <c r="CL2" s="3" t="s">
        <v>27</v>
      </c>
      <c r="CM2" s="3" t="s">
        <v>246</v>
      </c>
      <c r="CN2" s="3" t="s">
        <v>29</v>
      </c>
      <c r="CO2" s="4" t="s">
        <v>30</v>
      </c>
      <c r="CP2" s="5" t="s">
        <v>247</v>
      </c>
      <c r="CQ2" s="5" t="s">
        <v>248</v>
      </c>
      <c r="CS2" s="192" t="s">
        <v>25</v>
      </c>
      <c r="CT2" s="3" t="s">
        <v>26</v>
      </c>
      <c r="CU2" s="3" t="s">
        <v>27</v>
      </c>
      <c r="CV2" s="3" t="s">
        <v>246</v>
      </c>
      <c r="CW2" s="3" t="s">
        <v>29</v>
      </c>
      <c r="CX2" s="4" t="s">
        <v>30</v>
      </c>
      <c r="CY2" s="5" t="s">
        <v>247</v>
      </c>
      <c r="CZ2" s="5" t="s">
        <v>248</v>
      </c>
      <c r="DB2" s="192" t="s">
        <v>25</v>
      </c>
      <c r="DC2" s="3" t="s">
        <v>26</v>
      </c>
      <c r="DD2" s="3" t="s">
        <v>27</v>
      </c>
      <c r="DE2" s="3" t="s">
        <v>246</v>
      </c>
      <c r="DF2" s="3" t="s">
        <v>29</v>
      </c>
      <c r="DG2" s="4" t="s">
        <v>30</v>
      </c>
      <c r="DH2" s="5" t="s">
        <v>247</v>
      </c>
      <c r="DI2" s="5" t="s">
        <v>248</v>
      </c>
      <c r="DK2" s="192" t="s">
        <v>25</v>
      </c>
      <c r="DL2" s="3" t="s">
        <v>26</v>
      </c>
      <c r="DM2" s="3" t="s">
        <v>27</v>
      </c>
      <c r="DN2" s="3" t="s">
        <v>246</v>
      </c>
      <c r="DO2" s="3" t="s">
        <v>29</v>
      </c>
      <c r="DP2" s="4" t="s">
        <v>30</v>
      </c>
      <c r="DQ2" s="5" t="s">
        <v>247</v>
      </c>
      <c r="DR2" s="5" t="s">
        <v>248</v>
      </c>
      <c r="DT2" s="192" t="s">
        <v>25</v>
      </c>
      <c r="DU2" s="3" t="s">
        <v>26</v>
      </c>
      <c r="DV2" s="3" t="s">
        <v>27</v>
      </c>
      <c r="DW2" s="3" t="s">
        <v>246</v>
      </c>
      <c r="DX2" s="3" t="s">
        <v>29</v>
      </c>
      <c r="DY2" s="4" t="s">
        <v>30</v>
      </c>
      <c r="DZ2" s="5" t="s">
        <v>247</v>
      </c>
      <c r="EA2" s="5" t="s">
        <v>248</v>
      </c>
      <c r="EC2" s="192" t="s">
        <v>25</v>
      </c>
      <c r="ED2" s="3" t="s">
        <v>26</v>
      </c>
      <c r="EE2" s="3" t="s">
        <v>27</v>
      </c>
      <c r="EF2" s="3" t="s">
        <v>246</v>
      </c>
      <c r="EG2" s="3" t="s">
        <v>29</v>
      </c>
      <c r="EH2" s="4" t="s">
        <v>30</v>
      </c>
      <c r="EI2" s="5" t="s">
        <v>247</v>
      </c>
      <c r="EJ2" s="5" t="s">
        <v>248</v>
      </c>
      <c r="EL2" s="192" t="s">
        <v>25</v>
      </c>
      <c r="EM2" s="3" t="s">
        <v>26</v>
      </c>
      <c r="EN2" s="3" t="s">
        <v>27</v>
      </c>
      <c r="EO2" s="3" t="s">
        <v>246</v>
      </c>
      <c r="EP2" s="3" t="s">
        <v>29</v>
      </c>
      <c r="EQ2" s="4" t="s">
        <v>30</v>
      </c>
      <c r="ER2" s="5" t="s">
        <v>247</v>
      </c>
      <c r="ES2" s="5" t="s">
        <v>248</v>
      </c>
      <c r="EU2" s="192" t="s">
        <v>25</v>
      </c>
      <c r="EV2" s="3" t="s">
        <v>26</v>
      </c>
      <c r="EW2" s="3" t="s">
        <v>27</v>
      </c>
      <c r="EX2" s="3" t="s">
        <v>246</v>
      </c>
      <c r="EY2" s="3" t="s">
        <v>29</v>
      </c>
      <c r="EZ2" s="4" t="s">
        <v>30</v>
      </c>
      <c r="FA2" s="5" t="s">
        <v>247</v>
      </c>
      <c r="FB2" s="5" t="s">
        <v>248</v>
      </c>
      <c r="FD2" s="192" t="s">
        <v>25</v>
      </c>
      <c r="FE2" s="3" t="s">
        <v>26</v>
      </c>
      <c r="FF2" s="3" t="s">
        <v>27</v>
      </c>
      <c r="FG2" s="3" t="s">
        <v>246</v>
      </c>
      <c r="FH2" s="3" t="s">
        <v>29</v>
      </c>
      <c r="FI2" s="4" t="s">
        <v>30</v>
      </c>
      <c r="FJ2" s="5" t="s">
        <v>247</v>
      </c>
      <c r="FK2" s="5" t="s">
        <v>248</v>
      </c>
      <c r="FM2" s="192" t="s">
        <v>25</v>
      </c>
      <c r="FN2" s="3" t="s">
        <v>26</v>
      </c>
      <c r="FO2" s="3" t="s">
        <v>27</v>
      </c>
      <c r="FP2" s="3" t="s">
        <v>246</v>
      </c>
      <c r="FQ2" s="3" t="s">
        <v>29</v>
      </c>
      <c r="FR2" s="4" t="s">
        <v>30</v>
      </c>
      <c r="FS2" s="5" t="s">
        <v>247</v>
      </c>
      <c r="FT2" s="5" t="s">
        <v>248</v>
      </c>
      <c r="FV2" s="192" t="s">
        <v>25</v>
      </c>
      <c r="FW2" s="3" t="s">
        <v>26</v>
      </c>
      <c r="FX2" s="3" t="s">
        <v>27</v>
      </c>
      <c r="FY2" s="3" t="s">
        <v>246</v>
      </c>
      <c r="FZ2" s="3" t="s">
        <v>29</v>
      </c>
      <c r="GA2" s="4" t="s">
        <v>30</v>
      </c>
      <c r="GB2" s="5" t="s">
        <v>247</v>
      </c>
      <c r="GC2" s="5" t="s">
        <v>248</v>
      </c>
      <c r="GE2" s="192" t="s">
        <v>25</v>
      </c>
      <c r="GF2" s="3" t="s">
        <v>26</v>
      </c>
      <c r="GG2" s="3" t="s">
        <v>27</v>
      </c>
      <c r="GH2" s="3" t="s">
        <v>246</v>
      </c>
      <c r="GI2" s="3" t="s">
        <v>29</v>
      </c>
      <c r="GJ2" s="4" t="s">
        <v>30</v>
      </c>
      <c r="GK2" s="5" t="s">
        <v>247</v>
      </c>
      <c r="GL2" s="5" t="s">
        <v>248</v>
      </c>
      <c r="GN2" s="192" t="s">
        <v>25</v>
      </c>
      <c r="GO2" s="3" t="s">
        <v>26</v>
      </c>
      <c r="GP2" s="3" t="s">
        <v>27</v>
      </c>
      <c r="GQ2" s="3" t="s">
        <v>246</v>
      </c>
      <c r="GR2" s="3" t="s">
        <v>29</v>
      </c>
      <c r="GS2" s="4" t="s">
        <v>30</v>
      </c>
      <c r="GT2" s="5" t="s">
        <v>247</v>
      </c>
      <c r="GU2" s="5" t="s">
        <v>248</v>
      </c>
      <c r="GW2" s="192" t="s">
        <v>25</v>
      </c>
      <c r="GX2" s="3" t="s">
        <v>26</v>
      </c>
      <c r="GY2" s="3" t="s">
        <v>27</v>
      </c>
      <c r="GZ2" s="3" t="s">
        <v>246</v>
      </c>
      <c r="HA2" s="3" t="s">
        <v>29</v>
      </c>
      <c r="HB2" s="4" t="s">
        <v>30</v>
      </c>
      <c r="HC2" s="5" t="s">
        <v>247</v>
      </c>
      <c r="HD2" s="5" t="s">
        <v>248</v>
      </c>
      <c r="HF2" s="192" t="s">
        <v>25</v>
      </c>
      <c r="HG2" s="3" t="s">
        <v>26</v>
      </c>
      <c r="HH2" s="3" t="s">
        <v>27</v>
      </c>
      <c r="HI2" s="3" t="s">
        <v>246</v>
      </c>
      <c r="HJ2" s="3" t="s">
        <v>29</v>
      </c>
      <c r="HK2" s="4" t="s">
        <v>30</v>
      </c>
      <c r="HL2" s="5" t="s">
        <v>247</v>
      </c>
      <c r="HM2" s="5" t="s">
        <v>248</v>
      </c>
      <c r="HO2" s="192" t="s">
        <v>25</v>
      </c>
      <c r="HP2" s="3" t="s">
        <v>26</v>
      </c>
      <c r="HQ2" s="3" t="s">
        <v>27</v>
      </c>
      <c r="HR2" s="3" t="s">
        <v>246</v>
      </c>
      <c r="HS2" s="3" t="s">
        <v>29</v>
      </c>
      <c r="HT2" s="4" t="s">
        <v>30</v>
      </c>
      <c r="HU2" s="5" t="s">
        <v>247</v>
      </c>
      <c r="HV2" s="5" t="s">
        <v>248</v>
      </c>
      <c r="HX2" s="192" t="s">
        <v>25</v>
      </c>
      <c r="HY2" s="3" t="s">
        <v>26</v>
      </c>
      <c r="HZ2" s="3" t="s">
        <v>27</v>
      </c>
      <c r="IA2" s="3" t="s">
        <v>246</v>
      </c>
      <c r="IB2" s="3" t="s">
        <v>29</v>
      </c>
      <c r="IC2" s="4" t="s">
        <v>30</v>
      </c>
      <c r="ID2" s="5" t="s">
        <v>247</v>
      </c>
      <c r="IE2" s="5" t="s">
        <v>248</v>
      </c>
      <c r="IF2" s="5"/>
      <c r="IG2" s="192" t="s">
        <v>25</v>
      </c>
      <c r="IH2" s="3" t="s">
        <v>26</v>
      </c>
      <c r="II2" s="3" t="s">
        <v>27</v>
      </c>
      <c r="IJ2" s="3" t="s">
        <v>246</v>
      </c>
      <c r="IK2" s="3" t="s">
        <v>29</v>
      </c>
      <c r="IL2" s="4" t="s">
        <v>30</v>
      </c>
      <c r="IM2" s="5" t="s">
        <v>247</v>
      </c>
      <c r="IN2" s="5" t="s">
        <v>248</v>
      </c>
      <c r="IP2" s="192" t="s">
        <v>25</v>
      </c>
      <c r="IQ2" s="3" t="s">
        <v>26</v>
      </c>
      <c r="IR2" s="3" t="s">
        <v>27</v>
      </c>
      <c r="IS2" s="3" t="s">
        <v>246</v>
      </c>
      <c r="IT2" s="3" t="s">
        <v>29</v>
      </c>
      <c r="IU2" s="4" t="s">
        <v>30</v>
      </c>
      <c r="IV2" s="5" t="s">
        <v>247</v>
      </c>
      <c r="IW2" s="5" t="s">
        <v>248</v>
      </c>
      <c r="IY2" s="192" t="s">
        <v>25</v>
      </c>
      <c r="IZ2" s="3" t="s">
        <v>26</v>
      </c>
      <c r="JA2" s="3" t="s">
        <v>27</v>
      </c>
      <c r="JB2" s="3" t="s">
        <v>246</v>
      </c>
      <c r="JC2" s="3" t="s">
        <v>29</v>
      </c>
      <c r="JD2" s="4" t="s">
        <v>30</v>
      </c>
      <c r="JE2" s="5" t="s">
        <v>247</v>
      </c>
      <c r="JF2" s="5" t="s">
        <v>248</v>
      </c>
      <c r="JH2" s="192" t="s">
        <v>25</v>
      </c>
      <c r="JI2" s="3" t="s">
        <v>26</v>
      </c>
      <c r="JJ2" s="3" t="s">
        <v>27</v>
      </c>
      <c r="JK2" s="3" t="s">
        <v>246</v>
      </c>
      <c r="JL2" s="3" t="s">
        <v>29</v>
      </c>
      <c r="JM2" s="4" t="s">
        <v>30</v>
      </c>
      <c r="JN2" s="5" t="s">
        <v>247</v>
      </c>
      <c r="JO2" s="5" t="s">
        <v>248</v>
      </c>
      <c r="JQ2" s="192" t="s">
        <v>25</v>
      </c>
      <c r="JR2" s="3" t="s">
        <v>26</v>
      </c>
      <c r="JS2" s="3" t="s">
        <v>27</v>
      </c>
      <c r="JT2" s="3" t="s">
        <v>246</v>
      </c>
      <c r="JU2" s="3" t="s">
        <v>29</v>
      </c>
      <c r="JV2" s="4" t="s">
        <v>30</v>
      </c>
      <c r="JW2" s="5" t="s">
        <v>247</v>
      </c>
      <c r="JX2" s="5" t="s">
        <v>248</v>
      </c>
      <c r="JZ2" s="192" t="s">
        <v>25</v>
      </c>
      <c r="KA2" s="3" t="s">
        <v>26</v>
      </c>
      <c r="KB2" s="3" t="s">
        <v>27</v>
      </c>
      <c r="KC2" s="3" t="s">
        <v>246</v>
      </c>
      <c r="KD2" s="3" t="s">
        <v>29</v>
      </c>
      <c r="KE2" s="4" t="s">
        <v>30</v>
      </c>
      <c r="KF2" s="5" t="s">
        <v>247</v>
      </c>
      <c r="KG2" s="5" t="s">
        <v>248</v>
      </c>
      <c r="KI2" s="192" t="s">
        <v>25</v>
      </c>
      <c r="KJ2" s="3" t="s">
        <v>26</v>
      </c>
      <c r="KK2" s="3" t="s">
        <v>27</v>
      </c>
      <c r="KL2" s="3" t="s">
        <v>246</v>
      </c>
      <c r="KM2" s="3" t="s">
        <v>29</v>
      </c>
      <c r="KN2" s="4" t="s">
        <v>30</v>
      </c>
      <c r="KO2" s="5" t="s">
        <v>247</v>
      </c>
      <c r="KP2" s="5" t="s">
        <v>248</v>
      </c>
      <c r="KR2" s="192" t="s">
        <v>25</v>
      </c>
      <c r="KS2" s="3" t="s">
        <v>26</v>
      </c>
      <c r="KT2" s="3" t="s">
        <v>27</v>
      </c>
      <c r="KU2" s="3" t="s">
        <v>246</v>
      </c>
      <c r="KV2" s="3" t="s">
        <v>29</v>
      </c>
      <c r="KW2" s="4" t="s">
        <v>30</v>
      </c>
      <c r="KX2" s="5" t="s">
        <v>247</v>
      </c>
      <c r="KY2" s="5" t="s">
        <v>248</v>
      </c>
      <c r="LA2" s="192" t="s">
        <v>25</v>
      </c>
      <c r="LB2" s="3" t="s">
        <v>26</v>
      </c>
      <c r="LC2" s="3" t="s">
        <v>27</v>
      </c>
      <c r="LD2" s="3" t="s">
        <v>246</v>
      </c>
      <c r="LE2" s="3" t="s">
        <v>29</v>
      </c>
      <c r="LF2" s="4" t="s">
        <v>30</v>
      </c>
      <c r="LG2" s="5" t="s">
        <v>247</v>
      </c>
      <c r="LH2" s="5" t="s">
        <v>248</v>
      </c>
      <c r="LK2" s="192" t="s">
        <v>25</v>
      </c>
      <c r="LL2" s="3" t="s">
        <v>26</v>
      </c>
      <c r="LM2" s="3" t="s">
        <v>27</v>
      </c>
      <c r="LN2" s="3" t="s">
        <v>246</v>
      </c>
      <c r="LO2" s="3" t="s">
        <v>29</v>
      </c>
      <c r="LP2" s="4" t="s">
        <v>30</v>
      </c>
      <c r="LQ2" s="5" t="s">
        <v>247</v>
      </c>
      <c r="LR2" s="5" t="s">
        <v>248</v>
      </c>
      <c r="LT2" s="192" t="s">
        <v>25</v>
      </c>
      <c r="LU2" s="3" t="s">
        <v>26</v>
      </c>
      <c r="LV2" s="3" t="s">
        <v>27</v>
      </c>
      <c r="LW2" s="3" t="s">
        <v>246</v>
      </c>
      <c r="LX2" s="3" t="s">
        <v>29</v>
      </c>
      <c r="LY2" s="4" t="s">
        <v>30</v>
      </c>
      <c r="LZ2" s="5" t="s">
        <v>247</v>
      </c>
      <c r="MA2" s="5" t="s">
        <v>248</v>
      </c>
      <c r="MC2" s="192" t="s">
        <v>25</v>
      </c>
      <c r="MD2" s="3" t="s">
        <v>26</v>
      </c>
      <c r="ME2" s="3" t="s">
        <v>27</v>
      </c>
      <c r="MF2" s="3" t="s">
        <v>246</v>
      </c>
      <c r="MG2" s="3" t="s">
        <v>29</v>
      </c>
      <c r="MH2" s="4" t="s">
        <v>30</v>
      </c>
      <c r="MI2" s="5" t="s">
        <v>247</v>
      </c>
      <c r="MJ2" s="5" t="s">
        <v>248</v>
      </c>
      <c r="ML2" s="192" t="s">
        <v>25</v>
      </c>
      <c r="MM2" s="3" t="s">
        <v>26</v>
      </c>
      <c r="MN2" s="3" t="s">
        <v>27</v>
      </c>
      <c r="MO2" s="3" t="s">
        <v>246</v>
      </c>
      <c r="MP2" s="3" t="s">
        <v>29</v>
      </c>
      <c r="MQ2" s="4" t="s">
        <v>30</v>
      </c>
      <c r="MR2" s="5" t="s">
        <v>247</v>
      </c>
      <c r="MS2" s="5" t="s">
        <v>248</v>
      </c>
      <c r="MU2" s="192" t="s">
        <v>25</v>
      </c>
      <c r="MV2" s="3" t="s">
        <v>26</v>
      </c>
      <c r="MW2" s="3" t="s">
        <v>27</v>
      </c>
      <c r="MX2" s="3" t="s">
        <v>246</v>
      </c>
      <c r="MY2" s="3" t="s">
        <v>29</v>
      </c>
      <c r="MZ2" s="4" t="s">
        <v>30</v>
      </c>
      <c r="NA2" s="5" t="s">
        <v>247</v>
      </c>
      <c r="NB2" s="5" t="s">
        <v>248</v>
      </c>
      <c r="ND2" s="192" t="s">
        <v>25</v>
      </c>
      <c r="NE2" s="3" t="s">
        <v>26</v>
      </c>
      <c r="NF2" s="3" t="s">
        <v>27</v>
      </c>
      <c r="NG2" s="3" t="s">
        <v>246</v>
      </c>
      <c r="NH2" s="3" t="s">
        <v>29</v>
      </c>
      <c r="NI2" s="4" t="s">
        <v>30</v>
      </c>
      <c r="NJ2" s="5" t="s">
        <v>247</v>
      </c>
      <c r="NK2" s="5" t="s">
        <v>248</v>
      </c>
      <c r="NM2" s="192" t="s">
        <v>25</v>
      </c>
      <c r="NN2" s="3" t="s">
        <v>26</v>
      </c>
      <c r="NO2" s="3" t="s">
        <v>27</v>
      </c>
      <c r="NP2" s="3" t="s">
        <v>246</v>
      </c>
      <c r="NQ2" s="3" t="s">
        <v>29</v>
      </c>
      <c r="NR2" s="4" t="s">
        <v>30</v>
      </c>
      <c r="NS2" s="5" t="s">
        <v>247</v>
      </c>
      <c r="NT2" s="5" t="s">
        <v>248</v>
      </c>
      <c r="NV2" s="192" t="s">
        <v>25</v>
      </c>
      <c r="NW2" s="3" t="s">
        <v>26</v>
      </c>
      <c r="NX2" s="3" t="s">
        <v>27</v>
      </c>
      <c r="NY2" s="3" t="s">
        <v>246</v>
      </c>
      <c r="NZ2" s="3" t="s">
        <v>29</v>
      </c>
      <c r="OA2" s="4" t="s">
        <v>30</v>
      </c>
      <c r="OB2" s="5" t="s">
        <v>247</v>
      </c>
      <c r="OC2" s="5" t="s">
        <v>248</v>
      </c>
      <c r="OE2" s="192" t="s">
        <v>25</v>
      </c>
      <c r="OF2" s="3" t="s">
        <v>26</v>
      </c>
      <c r="OG2" s="3" t="s">
        <v>27</v>
      </c>
      <c r="OH2" s="3" t="s">
        <v>246</v>
      </c>
      <c r="OI2" s="3" t="s">
        <v>29</v>
      </c>
      <c r="OJ2" s="4" t="s">
        <v>30</v>
      </c>
      <c r="OK2" s="5" t="s">
        <v>247</v>
      </c>
      <c r="OL2" s="5" t="s">
        <v>248</v>
      </c>
      <c r="ON2" s="192" t="s">
        <v>25</v>
      </c>
      <c r="OO2" s="3" t="s">
        <v>26</v>
      </c>
      <c r="OP2" s="3" t="s">
        <v>27</v>
      </c>
      <c r="OQ2" s="3" t="s">
        <v>246</v>
      </c>
      <c r="OR2" s="3" t="s">
        <v>29</v>
      </c>
      <c r="OS2" s="4" t="s">
        <v>30</v>
      </c>
      <c r="OT2" s="5" t="s">
        <v>247</v>
      </c>
      <c r="OU2" s="5" t="s">
        <v>248</v>
      </c>
      <c r="OW2" s="192" t="s">
        <v>25</v>
      </c>
      <c r="OX2" s="3" t="s">
        <v>26</v>
      </c>
      <c r="OY2" s="3" t="s">
        <v>27</v>
      </c>
      <c r="OZ2" s="3" t="s">
        <v>246</v>
      </c>
      <c r="PA2" s="3" t="s">
        <v>29</v>
      </c>
      <c r="PB2" s="4" t="s">
        <v>30</v>
      </c>
      <c r="PC2" s="5" t="s">
        <v>247</v>
      </c>
      <c r="PD2" s="5" t="s">
        <v>248</v>
      </c>
      <c r="PF2" s="192" t="s">
        <v>25</v>
      </c>
      <c r="PG2" s="3" t="s">
        <v>26</v>
      </c>
      <c r="PH2" s="3" t="s">
        <v>27</v>
      </c>
      <c r="PI2" s="3" t="s">
        <v>246</v>
      </c>
      <c r="PJ2" s="3" t="s">
        <v>29</v>
      </c>
      <c r="PK2" s="4" t="s">
        <v>30</v>
      </c>
      <c r="PL2" s="5" t="s">
        <v>247</v>
      </c>
      <c r="PM2" s="5" t="s">
        <v>248</v>
      </c>
      <c r="PO2" s="192" t="s">
        <v>25</v>
      </c>
      <c r="PP2" s="3" t="s">
        <v>26</v>
      </c>
      <c r="PQ2" s="3" t="s">
        <v>27</v>
      </c>
      <c r="PR2" s="3" t="s">
        <v>246</v>
      </c>
      <c r="PS2" s="3" t="s">
        <v>29</v>
      </c>
      <c r="PT2" s="4" t="s">
        <v>30</v>
      </c>
      <c r="PV2" s="192" t="s">
        <v>25</v>
      </c>
      <c r="PW2" s="3" t="s">
        <v>26</v>
      </c>
      <c r="PX2" s="3" t="s">
        <v>27</v>
      </c>
      <c r="PY2" s="3" t="s">
        <v>246</v>
      </c>
      <c r="PZ2" s="3" t="s">
        <v>29</v>
      </c>
      <c r="QA2" s="4" t="s">
        <v>30</v>
      </c>
      <c r="QB2" s="5" t="s">
        <v>247</v>
      </c>
      <c r="QC2" s="5" t="s">
        <v>248</v>
      </c>
      <c r="QE2" s="192" t="s">
        <v>25</v>
      </c>
      <c r="QF2" s="3" t="s">
        <v>26</v>
      </c>
      <c r="QG2" s="3" t="s">
        <v>27</v>
      </c>
      <c r="QH2" s="3" t="s">
        <v>246</v>
      </c>
      <c r="QI2" s="3" t="s">
        <v>29</v>
      </c>
      <c r="QJ2" s="4" t="s">
        <v>30</v>
      </c>
      <c r="QK2" s="5" t="s">
        <v>247</v>
      </c>
      <c r="QL2" s="5" t="s">
        <v>248</v>
      </c>
      <c r="QN2" s="192" t="s">
        <v>25</v>
      </c>
      <c r="QO2" s="3" t="s">
        <v>26</v>
      </c>
      <c r="QP2" s="3" t="s">
        <v>27</v>
      </c>
      <c r="QQ2" s="3" t="s">
        <v>246</v>
      </c>
      <c r="QR2" s="3" t="s">
        <v>29</v>
      </c>
      <c r="QS2" s="4" t="s">
        <v>30</v>
      </c>
      <c r="QT2" s="5" t="s">
        <v>247</v>
      </c>
      <c r="QU2" s="5" t="s">
        <v>248</v>
      </c>
      <c r="QW2" s="192" t="s">
        <v>25</v>
      </c>
      <c r="QX2" s="3" t="s">
        <v>26</v>
      </c>
      <c r="QY2" s="3" t="s">
        <v>27</v>
      </c>
      <c r="QZ2" s="3" t="s">
        <v>246</v>
      </c>
      <c r="RA2" s="3" t="s">
        <v>29</v>
      </c>
      <c r="RB2" s="4" t="s">
        <v>30</v>
      </c>
      <c r="RC2" s="5" t="s">
        <v>247</v>
      </c>
      <c r="RD2" s="5" t="s">
        <v>248</v>
      </c>
      <c r="RF2" s="192" t="s">
        <v>25</v>
      </c>
      <c r="RG2" s="3" t="s">
        <v>26</v>
      </c>
      <c r="RH2" s="3" t="s">
        <v>27</v>
      </c>
      <c r="RI2" s="3" t="s">
        <v>246</v>
      </c>
      <c r="RJ2" s="3" t="s">
        <v>29</v>
      </c>
      <c r="RK2" s="4" t="s">
        <v>30</v>
      </c>
      <c r="RL2" s="5" t="s">
        <v>247</v>
      </c>
      <c r="RM2" s="5" t="s">
        <v>248</v>
      </c>
      <c r="RO2" s="192" t="s">
        <v>25</v>
      </c>
      <c r="RP2" s="3" t="s">
        <v>26</v>
      </c>
      <c r="RQ2" s="3" t="s">
        <v>27</v>
      </c>
      <c r="RR2" s="3" t="s">
        <v>246</v>
      </c>
      <c r="RS2" s="3" t="s">
        <v>29</v>
      </c>
      <c r="RT2" s="4" t="s">
        <v>30</v>
      </c>
      <c r="RU2" s="5" t="s">
        <v>247</v>
      </c>
      <c r="RV2" s="5" t="s">
        <v>248</v>
      </c>
      <c r="RX2" s="192" t="s">
        <v>25</v>
      </c>
      <c r="RY2" s="3" t="s">
        <v>26</v>
      </c>
      <c r="RZ2" s="3" t="s">
        <v>27</v>
      </c>
      <c r="SA2" s="3" t="s">
        <v>246</v>
      </c>
      <c r="SB2" s="3" t="s">
        <v>29</v>
      </c>
      <c r="SC2" s="4" t="s">
        <v>30</v>
      </c>
      <c r="SD2" s="5" t="s">
        <v>247</v>
      </c>
      <c r="SE2" s="5" t="s">
        <v>248</v>
      </c>
      <c r="SG2" s="192" t="s">
        <v>25</v>
      </c>
      <c r="SH2" s="3" t="s">
        <v>26</v>
      </c>
      <c r="SI2" s="3" t="s">
        <v>27</v>
      </c>
      <c r="SJ2" s="3" t="s">
        <v>246</v>
      </c>
      <c r="SK2" s="3" t="s">
        <v>29</v>
      </c>
      <c r="SL2" s="4" t="s">
        <v>30</v>
      </c>
      <c r="SM2" s="5" t="s">
        <v>247</v>
      </c>
      <c r="SN2" s="5" t="s">
        <v>248</v>
      </c>
      <c r="SP2" s="192" t="s">
        <v>25</v>
      </c>
      <c r="SQ2" s="3" t="s">
        <v>26</v>
      </c>
      <c r="SR2" s="3" t="s">
        <v>27</v>
      </c>
      <c r="SS2" s="3" t="s">
        <v>246</v>
      </c>
      <c r="ST2" s="3" t="s">
        <v>29</v>
      </c>
      <c r="SU2" s="4" t="s">
        <v>30</v>
      </c>
      <c r="SV2" s="5" t="s">
        <v>247</v>
      </c>
      <c r="SW2" s="5" t="s">
        <v>248</v>
      </c>
      <c r="SY2" s="192" t="s">
        <v>25</v>
      </c>
      <c r="SZ2" s="3" t="s">
        <v>26</v>
      </c>
      <c r="TA2" s="3" t="s">
        <v>27</v>
      </c>
      <c r="TB2" s="3" t="s">
        <v>246</v>
      </c>
      <c r="TC2" s="3" t="s">
        <v>29</v>
      </c>
      <c r="TD2" s="4" t="s">
        <v>30</v>
      </c>
      <c r="TE2" s="5" t="s">
        <v>247</v>
      </c>
      <c r="TF2" s="5" t="s">
        <v>248</v>
      </c>
      <c r="TH2" s="192" t="s">
        <v>25</v>
      </c>
      <c r="TI2" s="3" t="s">
        <v>26</v>
      </c>
      <c r="TJ2" s="3" t="s">
        <v>27</v>
      </c>
      <c r="TK2" s="3" t="s">
        <v>246</v>
      </c>
      <c r="TL2" s="3" t="s">
        <v>29</v>
      </c>
      <c r="TM2" s="4" t="s">
        <v>30</v>
      </c>
      <c r="TN2" s="5" t="s">
        <v>247</v>
      </c>
      <c r="TO2" s="5" t="s">
        <v>248</v>
      </c>
      <c r="TP2" s="5"/>
      <c r="TQ2" s="192" t="s">
        <v>25</v>
      </c>
      <c r="TR2" s="3" t="s">
        <v>26</v>
      </c>
      <c r="TS2" s="3" t="s">
        <v>27</v>
      </c>
      <c r="TT2" s="3" t="s">
        <v>246</v>
      </c>
      <c r="TU2" s="3" t="s">
        <v>29</v>
      </c>
      <c r="TV2" s="4" t="s">
        <v>30</v>
      </c>
      <c r="TX2" s="192" t="s">
        <v>25</v>
      </c>
      <c r="TY2" s="3" t="s">
        <v>26</v>
      </c>
      <c r="TZ2" s="3" t="s">
        <v>27</v>
      </c>
      <c r="UA2" s="3" t="s">
        <v>246</v>
      </c>
      <c r="UB2" s="3" t="s">
        <v>29</v>
      </c>
      <c r="UC2" s="4" t="s">
        <v>30</v>
      </c>
      <c r="UD2" s="5" t="s">
        <v>247</v>
      </c>
      <c r="UE2" s="5" t="s">
        <v>248</v>
      </c>
      <c r="UF2" s="5"/>
      <c r="UG2" s="192" t="s">
        <v>25</v>
      </c>
      <c r="UH2" s="3" t="s">
        <v>26</v>
      </c>
      <c r="UI2" s="3" t="s">
        <v>27</v>
      </c>
      <c r="UJ2" s="3" t="s">
        <v>246</v>
      </c>
      <c r="UK2" s="3" t="s">
        <v>29</v>
      </c>
      <c r="UL2" s="4" t="s">
        <v>30</v>
      </c>
      <c r="UN2" s="192" t="s">
        <v>25</v>
      </c>
      <c r="UO2" s="3" t="s">
        <v>26</v>
      </c>
      <c r="UP2" s="3" t="s">
        <v>27</v>
      </c>
      <c r="UQ2" s="3" t="s">
        <v>246</v>
      </c>
      <c r="UR2" s="3" t="s">
        <v>29</v>
      </c>
      <c r="US2" s="4" t="s">
        <v>30</v>
      </c>
      <c r="UT2" s="5" t="s">
        <v>247</v>
      </c>
      <c r="UU2" s="5" t="s">
        <v>248</v>
      </c>
      <c r="UW2" s="192" t="s">
        <v>25</v>
      </c>
      <c r="UX2" s="3" t="s">
        <v>26</v>
      </c>
      <c r="UY2" s="3" t="s">
        <v>27</v>
      </c>
      <c r="UZ2" s="3" t="s">
        <v>246</v>
      </c>
      <c r="VA2" s="3" t="s">
        <v>29</v>
      </c>
      <c r="VB2" s="4" t="s">
        <v>30</v>
      </c>
      <c r="VC2" s="5" t="s">
        <v>247</v>
      </c>
      <c r="VD2" s="5" t="s">
        <v>248</v>
      </c>
      <c r="VF2" s="192" t="s">
        <v>25</v>
      </c>
      <c r="VG2" s="3" t="s">
        <v>26</v>
      </c>
      <c r="VH2" s="3" t="s">
        <v>27</v>
      </c>
      <c r="VI2" s="3" t="s">
        <v>246</v>
      </c>
      <c r="VJ2" s="3" t="s">
        <v>29</v>
      </c>
      <c r="VK2" s="4" t="s">
        <v>30</v>
      </c>
      <c r="VL2" s="5" t="s">
        <v>247</v>
      </c>
      <c r="VM2" s="5" t="s">
        <v>248</v>
      </c>
      <c r="VO2" s="192" t="s">
        <v>25</v>
      </c>
      <c r="VP2" s="3" t="s">
        <v>26</v>
      </c>
      <c r="VQ2" s="3" t="s">
        <v>27</v>
      </c>
      <c r="VR2" s="3" t="s">
        <v>246</v>
      </c>
      <c r="VS2" s="3" t="s">
        <v>29</v>
      </c>
      <c r="VT2" s="4" t="s">
        <v>30</v>
      </c>
      <c r="VU2" s="5" t="s">
        <v>247</v>
      </c>
      <c r="VV2" s="5" t="s">
        <v>248</v>
      </c>
    </row>
    <row r="3" spans="2:594" ht="15" thickBot="1" x14ac:dyDescent="0.4">
      <c r="B3" s="6"/>
      <c r="K3" s="6"/>
      <c r="T3" s="6"/>
      <c r="AB3" s="6"/>
      <c r="AJ3" s="6"/>
      <c r="AS3" s="6"/>
      <c r="BB3" s="6"/>
      <c r="BK3" s="6"/>
      <c r="BT3" s="6"/>
      <c r="CB3" s="6"/>
      <c r="CJ3" s="6"/>
      <c r="CS3" s="6"/>
      <c r="DB3" s="6"/>
      <c r="DK3" s="6"/>
      <c r="DT3" s="6"/>
      <c r="EC3" s="6"/>
      <c r="EL3" s="6"/>
      <c r="EU3" s="6"/>
      <c r="FD3" s="6"/>
      <c r="FM3" s="6"/>
      <c r="FV3" s="6"/>
      <c r="GE3" s="6"/>
      <c r="GN3" s="6"/>
      <c r="GW3" s="6"/>
      <c r="HF3" s="6"/>
      <c r="HO3" s="6"/>
      <c r="HX3" s="6"/>
      <c r="IG3" s="6"/>
      <c r="IP3" s="6"/>
      <c r="IY3" s="6"/>
      <c r="JH3" s="6"/>
      <c r="JQ3" s="6"/>
      <c r="JZ3" s="6"/>
      <c r="KI3" s="6"/>
      <c r="KR3" s="6"/>
      <c r="LA3" s="6"/>
      <c r="LK3" s="6"/>
      <c r="LT3" s="6"/>
      <c r="MC3" s="6"/>
      <c r="ML3" s="6"/>
      <c r="MU3" s="6"/>
      <c r="ND3" s="6"/>
      <c r="NM3" s="6"/>
      <c r="NV3" s="6"/>
      <c r="OE3" s="6"/>
      <c r="ON3" s="6"/>
      <c r="OW3" s="6"/>
      <c r="PF3" s="6"/>
      <c r="PO3" s="6"/>
      <c r="PV3" s="6"/>
      <c r="QE3" s="6"/>
      <c r="QN3" s="6"/>
      <c r="QW3" s="6"/>
      <c r="RF3" s="6"/>
      <c r="RO3" s="6"/>
      <c r="RX3" s="6"/>
      <c r="SG3" s="6"/>
      <c r="SP3" s="6"/>
      <c r="SY3" s="6"/>
      <c r="TH3" s="6"/>
      <c r="TQ3" s="6"/>
      <c r="TX3" s="6"/>
      <c r="UG3" s="6"/>
      <c r="UN3" s="6"/>
      <c r="UW3" s="6"/>
      <c r="VF3" s="6"/>
      <c r="VO3" s="6"/>
    </row>
    <row r="4" spans="2:594" ht="15" thickBot="1" x14ac:dyDescent="0.4">
      <c r="B4" s="190">
        <v>1</v>
      </c>
      <c r="C4" s="16">
        <v>0</v>
      </c>
      <c r="D4" s="193">
        <f>AVERAGE(2,2,2,2,2)</f>
        <v>2</v>
      </c>
      <c r="E4" s="16">
        <v>1</v>
      </c>
      <c r="F4" s="16">
        <v>1</v>
      </c>
      <c r="G4" s="194">
        <f>SUM(C4:F4)</f>
        <v>4</v>
      </c>
      <c r="H4" s="193">
        <f>MEDIAN(2,2,2,2,2)</f>
        <v>2</v>
      </c>
      <c r="I4" s="75">
        <f>SUM(C4,E4:F4,H4)</f>
        <v>4</v>
      </c>
      <c r="K4" s="190">
        <v>1</v>
      </c>
      <c r="L4" s="16">
        <v>1</v>
      </c>
      <c r="M4" s="193">
        <f>AVERAGE(2,2,3,3,2,2,2,2)</f>
        <v>2.25</v>
      </c>
      <c r="N4" s="16">
        <v>1</v>
      </c>
      <c r="O4" s="16">
        <v>1</v>
      </c>
      <c r="P4" s="18">
        <f>SUM(L4:O4)</f>
        <v>5.25</v>
      </c>
      <c r="Q4" s="193">
        <f>MEDIAN(2,2,3,3,2,2,2,2)</f>
        <v>2</v>
      </c>
      <c r="R4" s="75">
        <f>SUM(L4,N4:O4,Q4)</f>
        <v>5</v>
      </c>
      <c r="T4" s="190">
        <v>1</v>
      </c>
      <c r="U4" s="16">
        <v>0</v>
      </c>
      <c r="V4" s="16">
        <f>AVERAGE(2,3,3,2,3,2,3,3)</f>
        <v>2.625</v>
      </c>
      <c r="W4" s="16">
        <v>1</v>
      </c>
      <c r="X4" s="16">
        <v>2</v>
      </c>
      <c r="Y4" s="16">
        <f>MEDIAN(2,3,3,2,3,2,3,3)</f>
        <v>3</v>
      </c>
      <c r="Z4" s="18">
        <f>SUM(U4,W4:Y4)</f>
        <v>6</v>
      </c>
      <c r="AB4" s="190">
        <v>1</v>
      </c>
      <c r="AC4" s="16">
        <v>1</v>
      </c>
      <c r="AD4" s="16">
        <f>AVERAGE(2,3,2,2,3,2,2)</f>
        <v>2.2857142857142856</v>
      </c>
      <c r="AE4" s="16">
        <v>2</v>
      </c>
      <c r="AF4" s="16">
        <v>3</v>
      </c>
      <c r="AG4" s="16">
        <f>MEDIAN(2,3,2,2,3,2,2)</f>
        <v>2</v>
      </c>
      <c r="AH4" s="18">
        <f>SUM(AC4,AE4:AG4)</f>
        <v>8</v>
      </c>
      <c r="AJ4" s="190">
        <v>1</v>
      </c>
      <c r="AK4" s="16">
        <v>1</v>
      </c>
      <c r="AL4" s="16">
        <f>AVERAGE(3,3,3,3,3,3,3,3,3,3)</f>
        <v>3</v>
      </c>
      <c r="AM4" s="16">
        <v>3</v>
      </c>
      <c r="AN4" s="16">
        <v>2</v>
      </c>
      <c r="AO4" s="18">
        <f>SUM(AK4:AN4)</f>
        <v>9</v>
      </c>
      <c r="AP4" s="16">
        <f>MEDIAN(3,3,3,3,3,3,3,3,3,3)</f>
        <v>3</v>
      </c>
      <c r="AQ4" s="75">
        <f>SUM(AK4,AM4:AN4,AP4)</f>
        <v>9</v>
      </c>
      <c r="AS4" s="190">
        <v>1</v>
      </c>
      <c r="AT4" s="16">
        <v>0</v>
      </c>
      <c r="AU4" s="16">
        <f>AVERAGE(2,3,3,2,3)</f>
        <v>2.6</v>
      </c>
      <c r="AV4" s="16">
        <v>2</v>
      </c>
      <c r="AW4" s="16">
        <v>2</v>
      </c>
      <c r="AX4" s="18">
        <f>SUM(AT4:AW4)</f>
        <v>6.6</v>
      </c>
      <c r="AY4" s="16">
        <f>MEDIAN(2,3,3,2,3)</f>
        <v>3</v>
      </c>
      <c r="AZ4" s="75">
        <f>SUM(AT4,AV4:AW4,AY4)</f>
        <v>7</v>
      </c>
      <c r="BB4" s="190">
        <v>1</v>
      </c>
      <c r="BC4" s="16">
        <v>0</v>
      </c>
      <c r="BD4" s="16">
        <f>MEDIAN(2,2,3)</f>
        <v>2</v>
      </c>
      <c r="BE4" s="16">
        <v>1</v>
      </c>
      <c r="BF4" s="16">
        <v>1</v>
      </c>
      <c r="BG4" s="18">
        <f>SUM(BC4:BF4)</f>
        <v>4</v>
      </c>
      <c r="BH4" s="16">
        <f>MEDIAN(2,2,3)</f>
        <v>2</v>
      </c>
      <c r="BI4" s="75">
        <f>SUM(BC4,BE4:BF4,BH4)</f>
        <v>4</v>
      </c>
      <c r="BK4" s="190">
        <v>1</v>
      </c>
      <c r="BL4" s="16">
        <v>0</v>
      </c>
      <c r="BM4" s="193">
        <f>MEDIAN(2,2,2,2,2,2,2,2,3,2,2)</f>
        <v>2</v>
      </c>
      <c r="BN4" s="16">
        <v>2</v>
      </c>
      <c r="BO4" s="16">
        <v>1</v>
      </c>
      <c r="BP4" s="18">
        <f>SUM(BL4:BO4)</f>
        <v>5</v>
      </c>
      <c r="BQ4" s="193">
        <f>MEDIAN(2,2,2,2,2,2,2,2,3,2,2)</f>
        <v>2</v>
      </c>
      <c r="BR4" s="75">
        <f>SUM(BL4,BN4:BO4,BQ4)</f>
        <v>5</v>
      </c>
      <c r="BT4" s="190">
        <v>1</v>
      </c>
      <c r="BU4" s="16">
        <v>0</v>
      </c>
      <c r="BV4" s="16">
        <f>MEDIAN(1,1,2,2)</f>
        <v>1.5</v>
      </c>
      <c r="BW4" s="16">
        <v>1</v>
      </c>
      <c r="BX4" s="16">
        <v>1</v>
      </c>
      <c r="BY4" s="18">
        <f>SUM(BU4:BX4)</f>
        <v>3.5</v>
      </c>
      <c r="CB4" s="190">
        <v>1</v>
      </c>
      <c r="CC4" s="16">
        <v>1</v>
      </c>
      <c r="CD4" s="16">
        <f>MEDIAN(2,2,2,2,2,2,2,2,2,3,2,2)</f>
        <v>2</v>
      </c>
      <c r="CE4" s="16">
        <v>1</v>
      </c>
      <c r="CF4" s="16">
        <v>1</v>
      </c>
      <c r="CG4" s="18">
        <f>SUM(CC4:CF4)</f>
        <v>5</v>
      </c>
      <c r="CJ4" s="190">
        <v>1</v>
      </c>
      <c r="CK4" s="16">
        <v>0</v>
      </c>
      <c r="CL4" s="16">
        <f>MEDIAN(1,2,1,2,2,2,2,2,2)</f>
        <v>2</v>
      </c>
      <c r="CM4" s="16">
        <v>0</v>
      </c>
      <c r="CN4" s="16">
        <v>1</v>
      </c>
      <c r="CO4" s="18">
        <f>SUM(CK4:CN4)</f>
        <v>3</v>
      </c>
      <c r="CP4" s="16">
        <f>MEDIAN(1,2,1,2,2,2,2,2,2)</f>
        <v>2</v>
      </c>
      <c r="CQ4" s="75">
        <f>SUM(CK4,CM4:CN4,CP4)</f>
        <v>3</v>
      </c>
      <c r="CS4" s="190">
        <v>1</v>
      </c>
      <c r="CT4" s="16">
        <v>2</v>
      </c>
      <c r="CU4" s="16">
        <f>MEDIAN(2,2,2,3,2,2)</f>
        <v>2</v>
      </c>
      <c r="CV4" s="16">
        <v>2</v>
      </c>
      <c r="CW4" s="16">
        <v>2</v>
      </c>
      <c r="CX4" s="18">
        <f>SUM(CT4:CW4)</f>
        <v>8</v>
      </c>
      <c r="CY4" s="16">
        <f>MEDIAN(2,2,2,3,2,2)</f>
        <v>2</v>
      </c>
      <c r="CZ4" s="75">
        <f>SUM(CT4,CV4:CW4,CY4)</f>
        <v>8</v>
      </c>
      <c r="DB4" s="190">
        <v>1</v>
      </c>
      <c r="DC4" s="16">
        <v>1</v>
      </c>
      <c r="DD4" s="193">
        <f>AVERAGE(3,3,3,3,2,3,3,2,3)</f>
        <v>2.7777777777777777</v>
      </c>
      <c r="DE4" s="16">
        <v>2</v>
      </c>
      <c r="DF4" s="16">
        <v>0</v>
      </c>
      <c r="DG4" s="18">
        <f>SUM(DC4:DF4)</f>
        <v>5.7777777777777777</v>
      </c>
      <c r="DH4" s="193">
        <f>MEDIAN(3,3,3,3,2,3,3,2,3)</f>
        <v>3</v>
      </c>
      <c r="DI4" s="75">
        <f>SUM(DC4,DE4:DF4,DH4)</f>
        <v>6</v>
      </c>
      <c r="DK4" s="190">
        <v>1</v>
      </c>
      <c r="DL4" s="16">
        <v>0</v>
      </c>
      <c r="DM4" s="193">
        <f>AVERAGE(3,3,2,2,3,2,3,3,3,3,3,2,2,3)</f>
        <v>2.6428571428571428</v>
      </c>
      <c r="DN4" s="16">
        <v>1</v>
      </c>
      <c r="DO4" s="16">
        <v>0</v>
      </c>
      <c r="DP4" s="18">
        <f>SUM(DL4:DO4)</f>
        <v>3.6428571428571428</v>
      </c>
      <c r="DQ4" s="193">
        <f>MEDIAN(3,3,2,2,3,2,3,3,3,3,3,2,2,3)</f>
        <v>3</v>
      </c>
      <c r="DR4" s="75">
        <f>SUM(DL4,DN4:DO4,DQ4)</f>
        <v>4</v>
      </c>
      <c r="DT4" s="190">
        <v>1</v>
      </c>
      <c r="DU4" s="16">
        <v>2</v>
      </c>
      <c r="DV4" s="193">
        <f>AVERAGE(3,3,2,3,3,3,2)</f>
        <v>2.7142857142857144</v>
      </c>
      <c r="DW4" s="16">
        <v>2</v>
      </c>
      <c r="DX4" s="16">
        <v>2</v>
      </c>
      <c r="DY4" s="18">
        <f>SUM(DU4:DX4)</f>
        <v>8.7142857142857153</v>
      </c>
      <c r="DZ4" s="193">
        <f>MEDIAN(3,3,2,3,3,3,2)</f>
        <v>3</v>
      </c>
      <c r="EA4" s="75">
        <f>SUM(DU4,DW4:DX4,DZ4)</f>
        <v>9</v>
      </c>
      <c r="EC4" s="190">
        <v>1</v>
      </c>
      <c r="ED4" s="16">
        <v>1</v>
      </c>
      <c r="EE4" s="193">
        <f>AVERAGE(2,3,2,3)</f>
        <v>2.5</v>
      </c>
      <c r="EF4" s="16">
        <v>2</v>
      </c>
      <c r="EG4" s="16">
        <v>1</v>
      </c>
      <c r="EH4" s="18">
        <f>SUM(ED4:EG4)</f>
        <v>6.5</v>
      </c>
      <c r="EI4" s="193">
        <f>MEDIAN(2,3,2,3)</f>
        <v>2.5</v>
      </c>
      <c r="EJ4" s="75">
        <f>SUM(ED4,EF4:EG4,EI4)</f>
        <v>6.5</v>
      </c>
      <c r="EL4" s="190">
        <v>1</v>
      </c>
      <c r="EM4" s="16">
        <v>0</v>
      </c>
      <c r="EN4" s="16">
        <f>AVERAGE(2,1,2,2,2,2,2,2,2,1,2,2,2)</f>
        <v>1.8461538461538463</v>
      </c>
      <c r="EO4" s="16">
        <v>1</v>
      </c>
      <c r="EP4" s="16">
        <v>0</v>
      </c>
      <c r="EQ4" s="18">
        <f>SUM(EM4:EP4)</f>
        <v>2.8461538461538463</v>
      </c>
      <c r="ER4" s="195">
        <f>MEDIAN(2,1,2,2,2,2,2,2,2,1,2,2,2)</f>
        <v>2</v>
      </c>
      <c r="ES4">
        <f>SUM(EM4,EO4,EP4,ER4)</f>
        <v>3</v>
      </c>
      <c r="EU4" s="190">
        <v>1</v>
      </c>
      <c r="EV4" s="16">
        <v>1</v>
      </c>
      <c r="EW4" s="16">
        <f>AVERAGE(3,2,3,2,2,3,2,2,2,2,3)</f>
        <v>2.3636363636363638</v>
      </c>
      <c r="EX4" s="16">
        <v>2</v>
      </c>
      <c r="EY4" s="16">
        <v>1</v>
      </c>
      <c r="EZ4" s="18">
        <f>SUM(EV4:EY4)</f>
        <v>6.3636363636363633</v>
      </c>
      <c r="FA4" s="195">
        <f>MEDIAN(3,2,3,2,2,3,2,2,2,2,3)</f>
        <v>2</v>
      </c>
      <c r="FB4">
        <f>SUM(EV4,EX4,EY4,FA4)</f>
        <v>6</v>
      </c>
      <c r="FD4" s="190">
        <v>1</v>
      </c>
      <c r="FE4" s="16">
        <v>0</v>
      </c>
      <c r="FF4" s="16">
        <f>AVERAGE(3,3,3,3,2,3,3,3,3,3,3,3,3)</f>
        <v>2.9230769230769229</v>
      </c>
      <c r="FG4" s="16">
        <v>1</v>
      </c>
      <c r="FH4" s="16">
        <v>0</v>
      </c>
      <c r="FI4" s="18">
        <f>SUM(FE4:FH4)</f>
        <v>3.9230769230769229</v>
      </c>
      <c r="FJ4" s="195">
        <f>MEDIAN(3,3,3,3,2,3,3,3,3,3,3,3,3)</f>
        <v>3</v>
      </c>
      <c r="FK4">
        <f>SUM(FE4,FG4,FH4,FJ4)</f>
        <v>4</v>
      </c>
      <c r="FM4" s="190">
        <v>1</v>
      </c>
      <c r="FN4" s="16">
        <v>1</v>
      </c>
      <c r="FO4" s="16">
        <f>AVERAGE(2,3,3,3,2,3)</f>
        <v>2.6666666666666665</v>
      </c>
      <c r="FP4" s="16">
        <v>1</v>
      </c>
      <c r="FQ4" s="16">
        <v>1</v>
      </c>
      <c r="FR4" s="18">
        <f>SUM(FN4:FQ4)</f>
        <v>5.6666666666666661</v>
      </c>
      <c r="FS4" s="195">
        <f>MEDIAN(2,3,3,3,2,3)</f>
        <v>3</v>
      </c>
      <c r="FT4">
        <f>SUM(FN4,FP4,FQ4,FS4)</f>
        <v>6</v>
      </c>
      <c r="FV4" s="190">
        <v>1</v>
      </c>
      <c r="FW4" s="16">
        <v>0</v>
      </c>
      <c r="FX4" s="16">
        <f>MEDIAN(3,3,3,3,3,2,3,3,3,3)</f>
        <v>3</v>
      </c>
      <c r="FY4" s="16">
        <v>1</v>
      </c>
      <c r="FZ4" s="16">
        <v>2</v>
      </c>
      <c r="GA4" s="18">
        <f>SUM(FW4:FZ4)</f>
        <v>6</v>
      </c>
      <c r="GB4" s="16">
        <f>MEDIAN(3,3,3,3,3,2,3,3,3,3)</f>
        <v>3</v>
      </c>
      <c r="GC4">
        <f>SUM(FW4,FY4,FZ4,GB4)</f>
        <v>6</v>
      </c>
      <c r="GE4" s="190">
        <v>1</v>
      </c>
      <c r="GF4" s="16">
        <v>2</v>
      </c>
      <c r="GG4" s="16">
        <f>MEDIAN(3,3,3,3,3,3,2,3)</f>
        <v>3</v>
      </c>
      <c r="GH4" s="16">
        <v>3</v>
      </c>
      <c r="GI4" s="16">
        <v>0</v>
      </c>
      <c r="GJ4" s="18">
        <f>SUM(GF4:GI4)</f>
        <v>8</v>
      </c>
      <c r="GK4" s="16">
        <f>MEDIAN(3,3,3,3,3,3,2,3)</f>
        <v>3</v>
      </c>
      <c r="GL4">
        <f>SUM(GF4,GH4,GI4,GK4)</f>
        <v>8</v>
      </c>
      <c r="GN4" s="190">
        <v>1</v>
      </c>
      <c r="GO4" s="16">
        <v>1</v>
      </c>
      <c r="GP4" s="16">
        <f>AVERAGE(3,3,3,2)</f>
        <v>2.75</v>
      </c>
      <c r="GQ4" s="16">
        <v>0</v>
      </c>
      <c r="GR4" s="16">
        <v>1</v>
      </c>
      <c r="GS4" s="18">
        <f>SUM(GO4:GR4)</f>
        <v>4.75</v>
      </c>
      <c r="GT4" s="196">
        <f>MEDIAN(3,3,3,2)</f>
        <v>3</v>
      </c>
      <c r="GU4" s="32">
        <f>SUM(GO4,GQ4,GR4,GT4)</f>
        <v>5</v>
      </c>
      <c r="GW4" s="190">
        <v>1</v>
      </c>
      <c r="GX4" s="16">
        <v>1</v>
      </c>
      <c r="GY4" s="16">
        <f>AVERAGE(3,3,3,3,3)</f>
        <v>3</v>
      </c>
      <c r="GZ4" s="16">
        <v>3</v>
      </c>
      <c r="HA4" s="16">
        <v>2</v>
      </c>
      <c r="HB4" s="18">
        <f>SUM(GX4:HA4)</f>
        <v>9</v>
      </c>
      <c r="HC4" s="196">
        <f>MEDIAN(3,3,3,3,3)</f>
        <v>3</v>
      </c>
      <c r="HD4">
        <f>SUM(GX4,GZ4,HA4,HC4)</f>
        <v>9</v>
      </c>
      <c r="HF4" s="190">
        <v>1</v>
      </c>
      <c r="HG4" s="16">
        <v>2</v>
      </c>
      <c r="HH4" s="16">
        <f>AVERAGE(3,3,3,3,3,3,3)</f>
        <v>3</v>
      </c>
      <c r="HI4" s="16">
        <v>3</v>
      </c>
      <c r="HJ4" s="16">
        <v>2</v>
      </c>
      <c r="HK4" s="18">
        <f>SUM(HG4:HJ4)</f>
        <v>10</v>
      </c>
      <c r="HL4" s="16">
        <f>MEDIAN(3,3,3,3,3,3,3)</f>
        <v>3</v>
      </c>
      <c r="HM4">
        <f>SUM(HG4,HI4,HJ4,HL4)</f>
        <v>10</v>
      </c>
      <c r="HO4" s="190">
        <v>1</v>
      </c>
      <c r="HP4" s="16">
        <v>1</v>
      </c>
      <c r="HQ4" s="16">
        <f>AVERAGE(2,3,3,3,3,3,3,3,3,2,2,3,3,3,3,3,2,3,2,2,3,2)</f>
        <v>2.6818181818181817</v>
      </c>
      <c r="HR4" s="16">
        <v>3</v>
      </c>
      <c r="HS4" s="16">
        <v>1</v>
      </c>
      <c r="HT4" s="18">
        <f>SUM(HP4:HS4)</f>
        <v>7.6818181818181817</v>
      </c>
      <c r="HU4" s="16">
        <f>MEDIAN(2,3,3,3,3,3,3,3,3,2,2,3,3,3,3,3,2,3,2,2,3,2)</f>
        <v>3</v>
      </c>
      <c r="HV4">
        <f>SUM(HP4,HR4,HS4,HU4)</f>
        <v>8</v>
      </c>
      <c r="HX4" s="190">
        <v>1</v>
      </c>
      <c r="HY4" s="16">
        <v>0</v>
      </c>
      <c r="HZ4" s="16">
        <f>MEDIAN(2,2,2,2,2,2,2,2,2,2,2,1,1,2)</f>
        <v>2</v>
      </c>
      <c r="IA4" s="16">
        <v>0</v>
      </c>
      <c r="IB4" s="16">
        <v>0</v>
      </c>
      <c r="IC4" s="18">
        <f>SUM(HY4:IB4)</f>
        <v>2</v>
      </c>
      <c r="ID4" s="16">
        <f>MEDIAN(2,2,2,2,2,2,2,2,2,2,2,1,1,2)</f>
        <v>2</v>
      </c>
      <c r="IE4">
        <f>SUM(HY4,IA4,IB4,ID4)</f>
        <v>2</v>
      </c>
      <c r="IG4" s="190">
        <v>1</v>
      </c>
      <c r="IH4" s="16">
        <v>0</v>
      </c>
      <c r="II4" s="16">
        <f>MEDIAN(2,3,2,2,2,3,3,2,2,2,3,2,2)</f>
        <v>2</v>
      </c>
      <c r="IJ4" s="16">
        <v>0</v>
      </c>
      <c r="IK4" s="16">
        <v>0</v>
      </c>
      <c r="IL4" s="18">
        <f>SUM(IH4:IK4)</f>
        <v>2</v>
      </c>
      <c r="IM4" s="16">
        <f>MEDIAN(2,3,2,2,2,3,3,2,2,2,3,2,2)</f>
        <v>2</v>
      </c>
      <c r="IN4">
        <f>SUM(IH4,IJ4,IK4,IM4)</f>
        <v>2</v>
      </c>
      <c r="IP4" s="190">
        <v>1</v>
      </c>
      <c r="IQ4" s="16">
        <v>0</v>
      </c>
      <c r="IR4" s="16">
        <f>AVERAGE(3,3,3,3,3,3,2,3,2,3,3)</f>
        <v>2.8181818181818183</v>
      </c>
      <c r="IS4" s="16">
        <v>2</v>
      </c>
      <c r="IT4" s="16">
        <v>1</v>
      </c>
      <c r="IU4" s="18">
        <f>SUM(IQ4:IT4)</f>
        <v>5.8181818181818183</v>
      </c>
      <c r="IV4" s="16">
        <f>MEDIAN(3,3,3,3,3,3,2,3,2,3,3)</f>
        <v>3</v>
      </c>
      <c r="IW4">
        <f>SUM(IQ4,IS4,IT4,IV4)</f>
        <v>6</v>
      </c>
      <c r="IY4" s="190">
        <v>1</v>
      </c>
      <c r="IZ4" s="16">
        <v>1</v>
      </c>
      <c r="JA4" s="16">
        <f>AVERAGE(3,3,3,3,3,3,3)</f>
        <v>3</v>
      </c>
      <c r="JB4" s="16">
        <v>3</v>
      </c>
      <c r="JC4" s="16">
        <v>1</v>
      </c>
      <c r="JD4" s="18">
        <f>SUM(IZ4:JC4)</f>
        <v>8</v>
      </c>
      <c r="JE4" s="16">
        <f>MEDIAN(3,3,3,3,3,3,3)</f>
        <v>3</v>
      </c>
      <c r="JF4">
        <f>SUM(IZ4,JB4,JC4,JE4)</f>
        <v>8</v>
      </c>
      <c r="JH4" s="190">
        <v>1</v>
      </c>
      <c r="JI4" s="16">
        <v>1</v>
      </c>
      <c r="JJ4" s="16">
        <f>MEDIAN(3,3,3,3,3,3,2,3,2)</f>
        <v>3</v>
      </c>
      <c r="JK4" s="16">
        <v>3</v>
      </c>
      <c r="JL4" s="16">
        <v>3</v>
      </c>
      <c r="JM4" s="18">
        <f>SUM(JI4:JL4)</f>
        <v>10</v>
      </c>
      <c r="JN4" s="16">
        <f>MEDIAN(3,3,3,3,3,3,2,3,2)</f>
        <v>3</v>
      </c>
      <c r="JO4">
        <f>SUM(JI4,JK4,JL4,JN4)</f>
        <v>10</v>
      </c>
      <c r="JQ4" s="190">
        <v>1</v>
      </c>
      <c r="JR4" s="16">
        <v>0</v>
      </c>
      <c r="JS4" s="16">
        <f>MEDIAN(3,3,3,3,3,2,2,2,3)</f>
        <v>3</v>
      </c>
      <c r="JT4" s="16">
        <v>0</v>
      </c>
      <c r="JU4" s="16">
        <v>1</v>
      </c>
      <c r="JV4" s="18">
        <f>SUM(JR4:JU4)</f>
        <v>4</v>
      </c>
      <c r="JW4" s="16">
        <f>MEDIAN(3,3,3,3,3,2,2,2,3)</f>
        <v>3</v>
      </c>
      <c r="JX4">
        <f>SUM(JR4,JT4,JU4,JW4)</f>
        <v>4</v>
      </c>
      <c r="JZ4" s="190">
        <v>1</v>
      </c>
      <c r="KA4" s="16">
        <v>0</v>
      </c>
      <c r="KB4" s="16">
        <f>AVERAGE(3,3,3,3,3,3,3,3)</f>
        <v>3</v>
      </c>
      <c r="KC4" s="16">
        <v>0</v>
      </c>
      <c r="KD4" s="16">
        <v>0</v>
      </c>
      <c r="KE4" s="18">
        <f>SUM(KA4:KD4)</f>
        <v>3</v>
      </c>
      <c r="KF4" s="16">
        <f>MEDIAN(3,3,3,3,3,3,3,3)</f>
        <v>3</v>
      </c>
      <c r="KG4">
        <f>SUM(KA4,KC4,KD4,KF4)</f>
        <v>3</v>
      </c>
      <c r="KI4" s="190">
        <v>1</v>
      </c>
      <c r="KJ4" s="16">
        <v>2</v>
      </c>
      <c r="KK4" s="16">
        <f>AVERAGE(3,3,3,2,3,3,3,2,3)</f>
        <v>2.7777777777777777</v>
      </c>
      <c r="KL4" s="16">
        <v>3</v>
      </c>
      <c r="KM4" s="16">
        <v>1</v>
      </c>
      <c r="KN4" s="18">
        <f>SUM(KJ4:KM4)</f>
        <v>8.7777777777777786</v>
      </c>
      <c r="KO4" s="16">
        <f>MEDIAN(3,3,3,2,3,3,3,2,3)</f>
        <v>3</v>
      </c>
      <c r="KP4">
        <f>SUM(KJ4,KL4,KM4,KO4)</f>
        <v>9</v>
      </c>
      <c r="KR4" s="190">
        <v>1</v>
      </c>
      <c r="KS4" s="16">
        <v>2</v>
      </c>
      <c r="KT4" s="16">
        <f>AVERAGE(3,3,3,3,3,3,3,2,3)</f>
        <v>2.8888888888888888</v>
      </c>
      <c r="KU4" s="16">
        <v>3</v>
      </c>
      <c r="KV4" s="16">
        <v>3</v>
      </c>
      <c r="KW4" s="18">
        <f>SUM(KS4:KV4)</f>
        <v>10.888888888888889</v>
      </c>
      <c r="KX4" s="16">
        <f>MEDIAN(3,3,3,3,3,3,3,2,3)</f>
        <v>3</v>
      </c>
      <c r="KY4">
        <f>SUM(KS4,KU4,KV4,KX4)</f>
        <v>11</v>
      </c>
      <c r="LA4" s="190">
        <v>1</v>
      </c>
      <c r="LB4" s="16">
        <v>1</v>
      </c>
      <c r="LC4" s="16">
        <f>AVERAGE(3,3)</f>
        <v>3</v>
      </c>
      <c r="LD4" s="16" t="s">
        <v>31</v>
      </c>
      <c r="LE4" s="16">
        <v>3</v>
      </c>
      <c r="LF4" s="18">
        <f>SUM(LB4:LE4)</f>
        <v>7</v>
      </c>
      <c r="LG4" s="16">
        <f>MEDIAN(3,3)</f>
        <v>3</v>
      </c>
      <c r="LH4">
        <f>SUM(LB4,LD4,LE4,LG4)</f>
        <v>7</v>
      </c>
      <c r="LI4">
        <f>LH4*(4/3)</f>
        <v>9.3333333333333321</v>
      </c>
      <c r="LK4" s="190">
        <v>1</v>
      </c>
      <c r="LL4" s="16">
        <v>0</v>
      </c>
      <c r="LM4" s="16">
        <f>AVERAGE(3,3,2,2,2,3,2,3,3,3,3,3)</f>
        <v>2.6666666666666665</v>
      </c>
      <c r="LN4" s="16">
        <v>2</v>
      </c>
      <c r="LO4" s="16">
        <v>1</v>
      </c>
      <c r="LP4" s="18">
        <f>SUM(LL4:LO4)</f>
        <v>5.6666666666666661</v>
      </c>
      <c r="LQ4" s="16">
        <f>MEDIAN(3,3,2,2,2,3,2,3,3,3,3,3)</f>
        <v>3</v>
      </c>
      <c r="LR4">
        <f>SUM(LL4,LN4,LO4,LQ4)</f>
        <v>6</v>
      </c>
      <c r="LT4" s="190">
        <v>1</v>
      </c>
      <c r="LU4" s="16">
        <v>0</v>
      </c>
      <c r="LV4" s="16">
        <f>AVERAGE(3,3,2,3,3,3)</f>
        <v>2.8333333333333335</v>
      </c>
      <c r="LW4" s="16">
        <v>2</v>
      </c>
      <c r="LX4" s="16">
        <v>1</v>
      </c>
      <c r="LY4" s="18">
        <f>SUM(LU4:LX4)</f>
        <v>5.8333333333333339</v>
      </c>
      <c r="LZ4" s="16">
        <f>MEDIAN(3,3,2,3,3,3)</f>
        <v>3</v>
      </c>
      <c r="MA4">
        <f>SUM(LU4,LW4,LX4,LZ4)</f>
        <v>6</v>
      </c>
      <c r="MC4" s="190">
        <v>1</v>
      </c>
      <c r="MD4" s="16">
        <v>2</v>
      </c>
      <c r="ME4" s="16">
        <f>AVERAGE(3,2,3,3,3,3,3,3,3,3,3,2,3,3,2,3,3)</f>
        <v>2.8235294117647061</v>
      </c>
      <c r="MF4" s="16">
        <v>3</v>
      </c>
      <c r="MG4" s="16">
        <v>3</v>
      </c>
      <c r="MH4" s="18">
        <f>SUM(MD4:MG4)</f>
        <v>10.823529411764707</v>
      </c>
      <c r="MI4" s="16">
        <f>MEDIAN(3,2,3,3,3,3,3,3,3,3,3,2,3,3,2,3,3)</f>
        <v>3</v>
      </c>
      <c r="MJ4">
        <f>SUM(MD4,MF4,MG4,MI4)</f>
        <v>11</v>
      </c>
      <c r="ML4" s="190">
        <v>1</v>
      </c>
      <c r="MM4" s="16">
        <v>1</v>
      </c>
      <c r="MN4" s="16">
        <f>AVERAGE(3,3,3,3,3,3,3,3,3,3,3,3,3,3,3,2,3,3,3)</f>
        <v>2.9473684210526314</v>
      </c>
      <c r="MO4" s="16">
        <v>3</v>
      </c>
      <c r="MP4" s="16">
        <v>1</v>
      </c>
      <c r="MQ4" s="18">
        <f>SUM(MM4:MP4)</f>
        <v>7.9473684210526319</v>
      </c>
      <c r="MR4" s="16">
        <f>MEDIAN(3,3,3,3,3,3,3,3,3,3,3,3,3,3,3,2,3,3,3)</f>
        <v>3</v>
      </c>
      <c r="MS4">
        <f>SUM(MM4,MO4,MP4,MR4)</f>
        <v>8</v>
      </c>
      <c r="MU4" s="190">
        <v>1</v>
      </c>
      <c r="MV4" s="16">
        <v>1</v>
      </c>
      <c r="MW4" s="16">
        <f>MEDIAN(2,2,2,3,3,2,2,2,2,3,2,3,2,2,2)</f>
        <v>2</v>
      </c>
      <c r="MX4" s="16">
        <v>1</v>
      </c>
      <c r="MY4" s="16">
        <v>2</v>
      </c>
      <c r="MZ4" s="18">
        <f>SUM(MV4:MY4)</f>
        <v>6</v>
      </c>
      <c r="NA4" s="16">
        <f>MEDIAN(2,2,2,3,3,2,2,2,2,3,2,3,2,2,2)</f>
        <v>2</v>
      </c>
      <c r="NB4">
        <f>SUM(MV4,MX4,MY4,NA4)</f>
        <v>6</v>
      </c>
      <c r="ND4" s="190">
        <v>1</v>
      </c>
      <c r="NE4" s="16">
        <v>1</v>
      </c>
      <c r="NF4" s="16">
        <f>MEDIAN(3,3,3,2,3,2)</f>
        <v>3</v>
      </c>
      <c r="NG4" s="16">
        <v>2</v>
      </c>
      <c r="NH4" s="16">
        <v>0</v>
      </c>
      <c r="NI4" s="18">
        <f>SUM(NE4:NH4)</f>
        <v>6</v>
      </c>
      <c r="NJ4" s="16">
        <f>MEDIAN(3,3,3,2,3,2)</f>
        <v>3</v>
      </c>
      <c r="NK4">
        <f>SUM(NE4,NG4,NH4,NJ4)</f>
        <v>6</v>
      </c>
      <c r="NM4" s="190">
        <v>1</v>
      </c>
      <c r="NN4" s="16">
        <v>0</v>
      </c>
      <c r="NO4" s="16">
        <f>AVERAGE(3,3,3,3,2,3,3,3,3,3,2,3,3,3,3,3,3)</f>
        <v>2.8823529411764706</v>
      </c>
      <c r="NP4" s="16">
        <v>2</v>
      </c>
      <c r="NQ4" s="16">
        <v>1</v>
      </c>
      <c r="NR4" s="18">
        <f>SUM(NN4:NQ4)</f>
        <v>5.882352941176471</v>
      </c>
      <c r="NS4" s="16">
        <f>MEDIAN(3,3,3,3,2,3,3,3,3,3,2,3,3,3,3,3,3)</f>
        <v>3</v>
      </c>
      <c r="NT4">
        <f>SUM(NN4,NP4,NQ4,NS4)</f>
        <v>6</v>
      </c>
      <c r="NV4" s="190">
        <v>1</v>
      </c>
      <c r="NW4" s="16">
        <v>1</v>
      </c>
      <c r="NX4" s="16">
        <f>AVERAGE(3,3,3,3,3,3,2)</f>
        <v>2.8571428571428572</v>
      </c>
      <c r="NY4" s="16">
        <v>2</v>
      </c>
      <c r="NZ4" s="16">
        <v>2</v>
      </c>
      <c r="OA4" s="18">
        <f>SUM(NW4:NZ4)</f>
        <v>7.8571428571428577</v>
      </c>
      <c r="OB4" s="16">
        <f>MEDIAN(3,3,3,3,3,3,2)</f>
        <v>3</v>
      </c>
      <c r="OC4">
        <f>SUM(NW4,NY4,NZ4,OB4)</f>
        <v>8</v>
      </c>
      <c r="OE4" s="190">
        <v>1</v>
      </c>
      <c r="OF4" s="16">
        <v>2</v>
      </c>
      <c r="OG4" s="16">
        <f>MEDIAN(3,3,3,3,3,3,2,3,2,3,3,3,2,3,3,3)</f>
        <v>3</v>
      </c>
      <c r="OH4" s="16">
        <v>3</v>
      </c>
      <c r="OI4" s="16">
        <v>1</v>
      </c>
      <c r="OJ4" s="18">
        <f>SUM(OF4:OI4)</f>
        <v>9</v>
      </c>
      <c r="OK4" s="16">
        <f>MEDIAN(3,3,3,3,3,3,2,3,2,3,3,3,2,3,3,3)</f>
        <v>3</v>
      </c>
      <c r="OL4">
        <f>SUM(OF4,OH4,OI4,OK4)</f>
        <v>9</v>
      </c>
      <c r="ON4" s="190">
        <v>1</v>
      </c>
      <c r="OO4" s="16">
        <v>1</v>
      </c>
      <c r="OP4" s="16">
        <f>MEDIAN(3,3,3,3,2,3)</f>
        <v>3</v>
      </c>
      <c r="OQ4" s="16">
        <v>1</v>
      </c>
      <c r="OR4" s="16">
        <v>1</v>
      </c>
      <c r="OS4" s="18">
        <f>SUM(OO4:OR4)</f>
        <v>6</v>
      </c>
      <c r="OT4" s="16">
        <f>MEDIAN(3,3,3,3,2,3)</f>
        <v>3</v>
      </c>
      <c r="OU4">
        <f>SUM(OO4,OQ4,OR4,OT4)</f>
        <v>6</v>
      </c>
      <c r="OW4" s="190">
        <v>1</v>
      </c>
      <c r="OX4" s="16">
        <v>0</v>
      </c>
      <c r="OY4" s="16">
        <f>AVERAGE(3,1,2,3,3)</f>
        <v>2.4</v>
      </c>
      <c r="OZ4" s="16">
        <v>3</v>
      </c>
      <c r="PA4" s="16">
        <v>1</v>
      </c>
      <c r="PB4" s="18">
        <f>SUM(OX4:PA4)</f>
        <v>6.4</v>
      </c>
      <c r="PC4" s="16">
        <f>MEDIAN(3,1,2,3,3)</f>
        <v>3</v>
      </c>
      <c r="PD4">
        <f>SUM(OX4,OZ4,PA4,PC4)</f>
        <v>7</v>
      </c>
      <c r="PF4" s="190">
        <v>1</v>
      </c>
      <c r="PG4" s="16">
        <v>2</v>
      </c>
      <c r="PH4" s="16">
        <f>AVERAGE(2,2,2)</f>
        <v>2</v>
      </c>
      <c r="PI4" s="16">
        <v>0</v>
      </c>
      <c r="PJ4" s="16">
        <v>0</v>
      </c>
      <c r="PK4" s="18">
        <f>SUM(PG4:PJ4)</f>
        <v>4</v>
      </c>
      <c r="PL4" s="16">
        <f>MEDIAN(2,2,2)</f>
        <v>2</v>
      </c>
      <c r="PM4">
        <f>SUM(PG4,PI4,PJ4,PL4)</f>
        <v>4</v>
      </c>
      <c r="PO4" s="190">
        <v>1</v>
      </c>
      <c r="PP4" s="16">
        <v>0</v>
      </c>
      <c r="PQ4" s="16">
        <f>MEDIAN(2,2,2)</f>
        <v>2</v>
      </c>
      <c r="PR4" s="16">
        <v>3</v>
      </c>
      <c r="PS4" s="16">
        <v>1</v>
      </c>
      <c r="PT4" s="18">
        <f>SUM(PP4:PS4)</f>
        <v>6</v>
      </c>
      <c r="PV4" s="190">
        <v>1</v>
      </c>
      <c r="PW4" s="16">
        <v>0</v>
      </c>
      <c r="PX4" s="16">
        <f>MEDIAN(2,2,3,3,1,2)</f>
        <v>2</v>
      </c>
      <c r="PY4" s="16">
        <v>1</v>
      </c>
      <c r="PZ4" s="16">
        <v>0</v>
      </c>
      <c r="QA4" s="18">
        <f>SUM(PW4:PZ4)</f>
        <v>3</v>
      </c>
      <c r="QB4" s="16">
        <f>MEDIAN(2,2,3,3,1,2)</f>
        <v>2</v>
      </c>
      <c r="QC4">
        <f>SUM(PW4,PY4,PZ4,QB4)</f>
        <v>3</v>
      </c>
      <c r="QE4" s="190">
        <v>1</v>
      </c>
      <c r="QF4" s="16">
        <v>0</v>
      </c>
      <c r="QG4" s="16">
        <f>MEDIAN(3,3,3,3,3,3,3,3,3,3,3)</f>
        <v>3</v>
      </c>
      <c r="QH4" s="16">
        <v>1</v>
      </c>
      <c r="QI4" s="16">
        <v>0</v>
      </c>
      <c r="QJ4" s="18">
        <f>SUM(QF4:QI4)</f>
        <v>4</v>
      </c>
      <c r="QK4" s="16">
        <f>MEDIAN(3,3,3,3,3,3,3,3,3,3,3)</f>
        <v>3</v>
      </c>
      <c r="QL4">
        <f>SUM(QF4,QH4,QI4,QK4)</f>
        <v>4</v>
      </c>
      <c r="QN4" s="190">
        <v>1</v>
      </c>
      <c r="QO4" s="16">
        <v>1</v>
      </c>
      <c r="QP4" s="16">
        <f>MEDIAN(2,3,2,2,2,3,3,3,3,2,2,2,2,3,2,3)</f>
        <v>2</v>
      </c>
      <c r="QQ4" s="16">
        <v>3</v>
      </c>
      <c r="QR4" s="16">
        <v>1</v>
      </c>
      <c r="QS4" s="18">
        <f>SUM(QO4:QR4)</f>
        <v>7</v>
      </c>
      <c r="QT4" s="16">
        <f>MEDIAN(2,3,2,2,2,3,3,3,3,2,2,2,2,3,2,3)</f>
        <v>2</v>
      </c>
      <c r="QU4">
        <f>SUM(QO4,QQ4,QR4,QT4)</f>
        <v>7</v>
      </c>
      <c r="QW4" s="190">
        <v>1</v>
      </c>
      <c r="QX4" s="16">
        <v>1</v>
      </c>
      <c r="QY4" s="16">
        <f>AVERAGE(3,3,3,2,3,3,3,3,3,3,2)</f>
        <v>2.8181818181818183</v>
      </c>
      <c r="QZ4" s="16">
        <v>3</v>
      </c>
      <c r="RA4" s="16">
        <v>1</v>
      </c>
      <c r="RB4" s="18">
        <f>SUM(QX4:RA4)</f>
        <v>7.8181818181818183</v>
      </c>
      <c r="RC4" s="16">
        <f>MEDIAN(3,3,3,2,3,3,3,3,3,3,2)</f>
        <v>3</v>
      </c>
      <c r="RD4">
        <f>SUM(QX4,QZ4,RA4,RC4)</f>
        <v>8</v>
      </c>
      <c r="RF4" s="190">
        <v>1</v>
      </c>
      <c r="RG4" s="16">
        <v>2</v>
      </c>
      <c r="RH4" s="16">
        <f>AVERAGE(3,3,2,2,2,3,3,3)</f>
        <v>2.625</v>
      </c>
      <c r="RI4" s="16">
        <v>3</v>
      </c>
      <c r="RJ4" s="16">
        <v>1</v>
      </c>
      <c r="RK4" s="18">
        <f>SUM(RG4:RJ4)</f>
        <v>8.625</v>
      </c>
      <c r="RL4" s="16">
        <f>MEDIAN(3,3,2,2,2,3,3,3)</f>
        <v>3</v>
      </c>
      <c r="RM4">
        <f>SUM(RG4,RI4,RJ4,RL4)</f>
        <v>9</v>
      </c>
      <c r="RO4" s="190">
        <v>1</v>
      </c>
      <c r="RP4" s="16">
        <v>0</v>
      </c>
      <c r="RQ4" s="16">
        <f>AVERAGE(2,3,3,2,3,3,2,2,3,2,3,3,3,3,2,2,3,2,2)</f>
        <v>2.5263157894736841</v>
      </c>
      <c r="RR4" s="16">
        <v>0</v>
      </c>
      <c r="RS4" s="16">
        <v>0</v>
      </c>
      <c r="RT4" s="18">
        <f>SUM(RP4:RS4)</f>
        <v>2.5263157894736841</v>
      </c>
      <c r="RU4" s="16">
        <f>MEDIAN(2,3,3,2,3,3,2,2,3,2,3,3,3,3,2,2,3,2,2)</f>
        <v>3</v>
      </c>
      <c r="RV4">
        <f>SUM(RP4,RR4,RS4,RU4)</f>
        <v>3</v>
      </c>
      <c r="RX4" s="190">
        <v>1</v>
      </c>
      <c r="RY4" s="16">
        <v>2</v>
      </c>
      <c r="RZ4" s="16">
        <f>AVERAGE(2,3,3,3,2,2,3)</f>
        <v>2.5714285714285716</v>
      </c>
      <c r="SA4" s="16">
        <v>3</v>
      </c>
      <c r="SB4" s="16">
        <v>1</v>
      </c>
      <c r="SC4" s="18">
        <f>SUM(RY4:SB4)</f>
        <v>8.5714285714285712</v>
      </c>
      <c r="SD4" s="16">
        <f>MEDIAN(2,3,3,3,2,2,3)</f>
        <v>3</v>
      </c>
      <c r="SE4">
        <f>SUM(RY4,SA4,SB4,SD4)</f>
        <v>9</v>
      </c>
      <c r="SG4" s="190">
        <v>1</v>
      </c>
      <c r="SH4" s="16">
        <v>1</v>
      </c>
      <c r="SI4" s="16">
        <f>MEDIAN(3,3,3,3,2,3,3,2,2)</f>
        <v>3</v>
      </c>
      <c r="SJ4" s="16">
        <v>0</v>
      </c>
      <c r="SK4" s="16">
        <v>1</v>
      </c>
      <c r="SL4" s="18">
        <f>SUM(SH4:SK4)</f>
        <v>5</v>
      </c>
      <c r="SM4" s="16">
        <f>MEDIAN(3,3,3,3,2,3,3,2,2)</f>
        <v>3</v>
      </c>
      <c r="SN4">
        <f>SUM(SH4,SJ4,SK4,SM4)</f>
        <v>5</v>
      </c>
      <c r="SP4" s="190">
        <v>1</v>
      </c>
      <c r="SQ4" s="16">
        <v>1</v>
      </c>
      <c r="SR4" s="16">
        <f>MEDIAN(3,2,3,3,2,2,2,3,3)</f>
        <v>3</v>
      </c>
      <c r="SS4" s="16">
        <v>3</v>
      </c>
      <c r="ST4" s="16">
        <v>1</v>
      </c>
      <c r="SU4" s="18">
        <f>SUM(SQ4:ST4)</f>
        <v>8</v>
      </c>
      <c r="SV4" s="16">
        <f>MEDIAN(3,2,3,3,2,2,2,3,3)</f>
        <v>3</v>
      </c>
      <c r="SW4">
        <f>SUM(SQ4,SS4,ST4,SV4)</f>
        <v>8</v>
      </c>
      <c r="SY4" s="190">
        <v>1</v>
      </c>
      <c r="SZ4" s="16">
        <v>0</v>
      </c>
      <c r="TA4" s="16">
        <f>AVERAGE(3,3,3,2,3,3)</f>
        <v>2.8333333333333335</v>
      </c>
      <c r="TB4" s="16">
        <v>1</v>
      </c>
      <c r="TC4" s="16">
        <v>1</v>
      </c>
      <c r="TD4" s="18">
        <f>SUM(SZ4:TC4)</f>
        <v>4.8333333333333339</v>
      </c>
      <c r="TE4" s="16">
        <f>MEDIAN(3,3,3,2,3,3)</f>
        <v>3</v>
      </c>
      <c r="TF4">
        <f>SUM(SZ4,TB4,TC4,TE4)</f>
        <v>5</v>
      </c>
      <c r="TH4" s="190">
        <v>1</v>
      </c>
      <c r="TI4" s="16">
        <v>2</v>
      </c>
      <c r="TJ4" s="16">
        <f>MEDIAN(3,3,2,3)</f>
        <v>3</v>
      </c>
      <c r="TK4" s="16">
        <v>3</v>
      </c>
      <c r="TL4" s="16">
        <v>2</v>
      </c>
      <c r="TM4" s="18">
        <f>SUM(TI4:TL4)</f>
        <v>10</v>
      </c>
      <c r="TN4" s="16">
        <f>MEDIAN(3,3,2,3)</f>
        <v>3</v>
      </c>
      <c r="TO4">
        <f>SUM(TI4,TK4,TL4,TN4)</f>
        <v>10</v>
      </c>
      <c r="TQ4" s="190">
        <v>1</v>
      </c>
      <c r="TR4" s="16">
        <v>1</v>
      </c>
      <c r="TS4" s="16">
        <f>MEDIAN(2,2,3,3)</f>
        <v>2.5</v>
      </c>
      <c r="TT4" s="16">
        <v>1</v>
      </c>
      <c r="TU4" s="16">
        <v>0</v>
      </c>
      <c r="TV4" s="18">
        <f>SUM(TR4:TU4)</f>
        <v>4.5</v>
      </c>
      <c r="TX4" s="190">
        <v>1</v>
      </c>
      <c r="TY4" s="16">
        <v>2</v>
      </c>
      <c r="TZ4" s="16">
        <f>MEDIAN(2,2,3,2,2,3,2,1,2,2,2)</f>
        <v>2</v>
      </c>
      <c r="UA4" s="16">
        <v>2</v>
      </c>
      <c r="UB4" s="16">
        <v>1</v>
      </c>
      <c r="UC4" s="18">
        <f>SUM(TY4:UB4)</f>
        <v>7</v>
      </c>
      <c r="UD4" s="16">
        <f>MEDIAN(2,2,3,2,2,3,2,1,2,2,2)</f>
        <v>2</v>
      </c>
      <c r="UE4">
        <f>SUM(TY4,UA4,UB4,UD4)</f>
        <v>7</v>
      </c>
      <c r="UG4" s="190">
        <v>1</v>
      </c>
      <c r="UH4" s="16">
        <v>0</v>
      </c>
      <c r="UI4" s="16">
        <f>MEDIAN(3,3,3,3,3)</f>
        <v>3</v>
      </c>
      <c r="UJ4" s="16">
        <v>3</v>
      </c>
      <c r="UK4" s="16">
        <v>1</v>
      </c>
      <c r="UL4" s="18">
        <f>SUM(UH4:UK4)</f>
        <v>7</v>
      </c>
      <c r="UN4" s="190">
        <v>1</v>
      </c>
      <c r="UO4" s="16">
        <v>1</v>
      </c>
      <c r="UP4" s="16">
        <f>AVERAGE(2,2,3,3)</f>
        <v>2.5</v>
      </c>
      <c r="UQ4" s="16">
        <v>3</v>
      </c>
      <c r="UR4" s="16">
        <v>2</v>
      </c>
      <c r="US4" s="18">
        <f>SUM(UO4:UR4)</f>
        <v>8.5</v>
      </c>
      <c r="UT4" s="16">
        <f>MEDIAN(2,2,3,3)</f>
        <v>2.5</v>
      </c>
      <c r="UU4">
        <f>SUM(UO4,UQ4,UR4,UT4)</f>
        <v>8.5</v>
      </c>
      <c r="UW4" s="190">
        <v>1</v>
      </c>
      <c r="UX4" s="16">
        <v>0</v>
      </c>
      <c r="UY4" s="16">
        <f>AVERAGE(3,3,3,3,3,3,2,2,3,2,3,3,3,3)</f>
        <v>2.7857142857142856</v>
      </c>
      <c r="UZ4" s="16">
        <v>1</v>
      </c>
      <c r="VA4" s="16">
        <v>1</v>
      </c>
      <c r="VB4" s="18">
        <f>SUM(UX4:VA4)</f>
        <v>4.7857142857142856</v>
      </c>
      <c r="VC4" s="16">
        <f>MEDIAN(3,3,3,3,3,3,2,2,3,2,3,3,3,3)</f>
        <v>3</v>
      </c>
      <c r="VD4">
        <f>SUM(UX4,UZ4,VA4,VC4)</f>
        <v>5</v>
      </c>
      <c r="VF4" s="190">
        <v>1</v>
      </c>
      <c r="VG4" s="16">
        <v>2</v>
      </c>
      <c r="VH4" s="16">
        <f>AVERAGE(3,3,3,3,3,3,3,3,3,3)</f>
        <v>3</v>
      </c>
      <c r="VI4" s="16">
        <v>3</v>
      </c>
      <c r="VJ4" s="16">
        <v>1</v>
      </c>
      <c r="VK4" s="18">
        <f>SUM(VG4:VJ4)</f>
        <v>9</v>
      </c>
      <c r="VL4" s="16">
        <f>MEDIAN(3,3,3,3,3,3,3,3,3,3)</f>
        <v>3</v>
      </c>
      <c r="VM4">
        <f>SUM(VG4,VI4,VJ4,VL4)</f>
        <v>9</v>
      </c>
      <c r="VO4" s="190">
        <v>1</v>
      </c>
      <c r="VP4" s="16">
        <v>2</v>
      </c>
      <c r="VQ4" s="16">
        <f>AVERAGE(3)</f>
        <v>3</v>
      </c>
      <c r="VR4" s="16">
        <v>3</v>
      </c>
      <c r="VS4" s="16">
        <v>2</v>
      </c>
      <c r="VT4" s="18">
        <f>SUM(VP4:VS4)</f>
        <v>10</v>
      </c>
      <c r="VU4" s="16">
        <f>MEDIAN(3)</f>
        <v>3</v>
      </c>
      <c r="VV4">
        <f>SUM(VP4,VR4,VS4,VU4)</f>
        <v>10</v>
      </c>
    </row>
    <row r="5" spans="2:594" ht="15" thickBot="1" x14ac:dyDescent="0.4">
      <c r="B5" s="165">
        <v>2</v>
      </c>
      <c r="C5" s="32">
        <v>0</v>
      </c>
      <c r="D5" s="32">
        <f>AVERAGE(2,1,2)</f>
        <v>1.6666666666666667</v>
      </c>
      <c r="E5" s="32">
        <v>2</v>
      </c>
      <c r="F5" s="32">
        <v>1</v>
      </c>
      <c r="G5" s="33">
        <f t="shared" ref="G5:G28" si="0">SUM(C5:F5)</f>
        <v>4.666666666666667</v>
      </c>
      <c r="H5" s="32">
        <f>MEDIAN(2,1,2)</f>
        <v>2</v>
      </c>
      <c r="I5" s="75">
        <f t="shared" ref="I5:I27" si="1">SUM(C5,E5:F5,H5)</f>
        <v>5</v>
      </c>
      <c r="K5" s="165">
        <v>2</v>
      </c>
      <c r="L5" s="32">
        <v>1</v>
      </c>
      <c r="M5" s="32">
        <f>AVERAGE(3,3,2,2,2,2,3,2,3,3,3,2,2,2,3,2,2)</f>
        <v>2.4117647058823528</v>
      </c>
      <c r="N5" s="32">
        <v>2</v>
      </c>
      <c r="O5" s="32">
        <v>2</v>
      </c>
      <c r="P5" s="33">
        <f t="shared" ref="P5:P28" si="2">SUM(L5:O5)</f>
        <v>7.4117647058823533</v>
      </c>
      <c r="Q5" s="32">
        <f>MEDIAN(3,3,2,2,2,2,3,2,3,3,3,2,2,2,3,2,2)</f>
        <v>2</v>
      </c>
      <c r="R5" s="75">
        <f t="shared" ref="R5:R28" si="3">SUM(L5,N5:O5,Q5)</f>
        <v>7</v>
      </c>
      <c r="T5" s="165">
        <v>2</v>
      </c>
      <c r="U5" s="32">
        <v>1</v>
      </c>
      <c r="V5" s="32">
        <f>AVERAGE(2,2,2,3,2,3,2)</f>
        <v>2.2857142857142856</v>
      </c>
      <c r="W5" s="32">
        <v>1</v>
      </c>
      <c r="X5" s="32">
        <v>2</v>
      </c>
      <c r="Y5" s="32">
        <f>MEDIAN(2,2,2,3,2,3,2)</f>
        <v>2</v>
      </c>
      <c r="Z5" s="18">
        <f t="shared" ref="Z5:Z28" si="4">SUM(U5,W5:Y5)</f>
        <v>6</v>
      </c>
      <c r="AB5" s="165">
        <v>2</v>
      </c>
      <c r="AC5" s="32">
        <v>1</v>
      </c>
      <c r="AD5" s="32">
        <f>AVERAGE(2,2,2,2,2,3,2)</f>
        <v>2.1428571428571428</v>
      </c>
      <c r="AE5" s="32">
        <v>3</v>
      </c>
      <c r="AF5" s="32">
        <v>2</v>
      </c>
      <c r="AG5" s="32">
        <f>MEDIAN(2,2,2,2,2,3,2)</f>
        <v>2</v>
      </c>
      <c r="AH5" s="18">
        <f t="shared" ref="AH5:AH28" si="5">SUM(AC5,AE5:AG5)</f>
        <v>8</v>
      </c>
      <c r="AJ5" s="165">
        <v>2</v>
      </c>
      <c r="AK5" s="32">
        <v>0</v>
      </c>
      <c r="AL5" s="32">
        <f>AVERAGE(3,3,3,3,3,3,2)</f>
        <v>2.8571428571428572</v>
      </c>
      <c r="AM5" s="32">
        <v>2</v>
      </c>
      <c r="AN5" s="32">
        <v>2</v>
      </c>
      <c r="AO5" s="33">
        <f t="shared" ref="AO5:AO28" si="6">SUM(AK5:AN5)</f>
        <v>6.8571428571428577</v>
      </c>
      <c r="AP5" s="32">
        <f>MEDIAN(3,3,3,3,3,3,2)</f>
        <v>3</v>
      </c>
      <c r="AQ5" s="75">
        <f t="shared" ref="AQ5:AQ28" si="7">SUM(AK5,AM5:AN5,AP5)</f>
        <v>7</v>
      </c>
      <c r="AS5" s="165">
        <v>2</v>
      </c>
      <c r="AT5" s="32">
        <v>0</v>
      </c>
      <c r="AU5" s="32">
        <f>AVERAGE(3,3)</f>
        <v>3</v>
      </c>
      <c r="AV5" s="32">
        <v>1</v>
      </c>
      <c r="AW5" s="32">
        <v>1</v>
      </c>
      <c r="AX5" s="33">
        <f t="shared" ref="AX5:AX28" si="8">SUM(AT5:AW5)</f>
        <v>5</v>
      </c>
      <c r="AY5" s="32">
        <f>MEDIAN(3,3)</f>
        <v>3</v>
      </c>
      <c r="AZ5" s="75">
        <f t="shared" ref="AZ5:AZ28" si="9">SUM(AT5,AV5:AW5,AY5)</f>
        <v>5</v>
      </c>
      <c r="BB5" s="165">
        <v>2</v>
      </c>
      <c r="BC5" s="32">
        <v>0</v>
      </c>
      <c r="BD5" s="32">
        <f>MEDIAN(3,3,2,2,2,2,2,2,3,3,3,3,2)</f>
        <v>2</v>
      </c>
      <c r="BE5" s="32">
        <v>1</v>
      </c>
      <c r="BF5" s="32">
        <v>0</v>
      </c>
      <c r="BG5" s="33">
        <f t="shared" ref="BG5:BG28" si="10">SUM(BC5:BF5)</f>
        <v>3</v>
      </c>
      <c r="BH5" s="32">
        <f>MEDIAN(3,3,2,2,2,2,2,2,3,3,3,3,2)</f>
        <v>2</v>
      </c>
      <c r="BI5" s="75">
        <f t="shared" ref="BI5:BI28" si="11">SUM(BC5,BE5:BF5,BH5)</f>
        <v>3</v>
      </c>
      <c r="BK5" s="165">
        <v>2</v>
      </c>
      <c r="BL5" s="32">
        <v>0</v>
      </c>
      <c r="BM5" s="32">
        <f>MEDIAN(2,2,2,3,2,2)</f>
        <v>2</v>
      </c>
      <c r="BN5" s="32">
        <v>2</v>
      </c>
      <c r="BO5" s="32">
        <v>1</v>
      </c>
      <c r="BP5" s="33">
        <f t="shared" ref="BP5:BP28" si="12">SUM(BL5:BO5)</f>
        <v>5</v>
      </c>
      <c r="BQ5" s="32">
        <f>MEDIAN(2,2,2,3,2,2)</f>
        <v>2</v>
      </c>
      <c r="BR5" s="75">
        <f t="shared" ref="BR5:BR28" si="13">SUM(BL5,BN5:BO5,BQ5)</f>
        <v>5</v>
      </c>
      <c r="BT5" s="165">
        <v>2</v>
      </c>
      <c r="BU5" s="32">
        <v>1</v>
      </c>
      <c r="BV5" s="32">
        <f>MEDIAN(3,3,2,1)</f>
        <v>2.5</v>
      </c>
      <c r="BW5" s="32">
        <v>1</v>
      </c>
      <c r="BX5" s="32">
        <v>1</v>
      </c>
      <c r="BY5" s="33">
        <f t="shared" ref="BY5:BY28" si="14">SUM(BU5:BX5)</f>
        <v>5.5</v>
      </c>
      <c r="CB5" s="165">
        <v>2</v>
      </c>
      <c r="CC5" s="32">
        <v>2</v>
      </c>
      <c r="CD5" s="32">
        <f>MEDIAN(2,2,2,3,3,3)</f>
        <v>2.5</v>
      </c>
      <c r="CE5" s="32">
        <v>2</v>
      </c>
      <c r="CF5" s="32">
        <v>1</v>
      </c>
      <c r="CG5" s="33">
        <f t="shared" ref="CG5:CG28" si="15">SUM(CC5:CF5)</f>
        <v>7.5</v>
      </c>
      <c r="CJ5" s="165">
        <v>2</v>
      </c>
      <c r="CK5" s="32">
        <v>1</v>
      </c>
      <c r="CL5" s="32">
        <f>MEDIAN(2,2,1)</f>
        <v>2</v>
      </c>
      <c r="CM5" s="32">
        <v>1</v>
      </c>
      <c r="CN5" s="32">
        <v>1</v>
      </c>
      <c r="CO5" s="33">
        <f t="shared" ref="CO5:CO28" si="16">SUM(CK5:CN5)</f>
        <v>5</v>
      </c>
      <c r="CP5" s="32">
        <f>MEDIAN(2,2,1)</f>
        <v>2</v>
      </c>
      <c r="CQ5" s="75">
        <f t="shared" ref="CQ5:CQ28" si="17">SUM(CK5,CM5:CN5,CP5)</f>
        <v>5</v>
      </c>
      <c r="CS5" s="165">
        <v>2</v>
      </c>
      <c r="CT5" s="32">
        <v>2</v>
      </c>
      <c r="CU5" s="32">
        <f>MEDIAN(2,3,2,2,2)</f>
        <v>2</v>
      </c>
      <c r="CV5" s="32">
        <v>2</v>
      </c>
      <c r="CW5" s="32">
        <v>1</v>
      </c>
      <c r="CX5" s="33">
        <f t="shared" ref="CX5:CX28" si="18">SUM(CT5:CW5)</f>
        <v>7</v>
      </c>
      <c r="CY5" s="32">
        <f>MEDIAN(2,3,2,2,2)</f>
        <v>2</v>
      </c>
      <c r="CZ5" s="75">
        <f t="shared" ref="CZ5:CZ28" si="19">SUM(CT5,CV5:CW5,CY5)</f>
        <v>7</v>
      </c>
      <c r="DB5" s="165">
        <v>2</v>
      </c>
      <c r="DC5" s="32">
        <v>2</v>
      </c>
      <c r="DD5" s="32">
        <f>AVERAGE(3,3,3,2,3,3,2,2,3,3,3)</f>
        <v>2.7272727272727271</v>
      </c>
      <c r="DE5" s="32">
        <v>2</v>
      </c>
      <c r="DF5" s="32">
        <v>1</v>
      </c>
      <c r="DG5" s="33">
        <f t="shared" ref="DG5:DG28" si="20">SUM(DC5:DF5)</f>
        <v>7.7272727272727266</v>
      </c>
      <c r="DH5" s="32">
        <f>MEDIAN(3,3,3,2,3,3,2,2,3,3,3)</f>
        <v>3</v>
      </c>
      <c r="DI5" s="75">
        <f t="shared" ref="DI5:DI28" si="21">SUM(DC5,DE5:DF5,DH5)</f>
        <v>8</v>
      </c>
      <c r="DK5" s="165">
        <v>2</v>
      </c>
      <c r="DL5" s="32">
        <v>0</v>
      </c>
      <c r="DM5" s="32">
        <f>AVERAGE(3,3,2,2,3,2,2,2,1,3)</f>
        <v>2.2999999999999998</v>
      </c>
      <c r="DN5" s="32">
        <v>2</v>
      </c>
      <c r="DO5" s="32">
        <v>2</v>
      </c>
      <c r="DP5" s="33">
        <f t="shared" ref="DP5:DP28" si="22">SUM(DL5:DO5)</f>
        <v>6.3</v>
      </c>
      <c r="DQ5" s="32">
        <f>MEDIAN(3,3,2,2,3,2,2,2,1,3)</f>
        <v>2</v>
      </c>
      <c r="DR5" s="75">
        <f t="shared" ref="DR5:DR28" si="23">SUM(DL5,DN5:DO5,DQ5)</f>
        <v>6</v>
      </c>
      <c r="DT5" s="165">
        <v>2</v>
      </c>
      <c r="DU5" s="32">
        <v>1</v>
      </c>
      <c r="DV5" s="32">
        <f>AVERAGE(2,3,3,3,2,3,2,2,3,2)</f>
        <v>2.5</v>
      </c>
      <c r="DW5" s="32">
        <v>3</v>
      </c>
      <c r="DX5" s="32">
        <v>1</v>
      </c>
      <c r="DY5" s="33">
        <f t="shared" ref="DY5:DY28" si="24">SUM(DU5:DX5)</f>
        <v>7.5</v>
      </c>
      <c r="DZ5" s="32">
        <f>MEDIAN(2,3,3,3,2,3,2,2,3,2)</f>
        <v>2.5</v>
      </c>
      <c r="EA5" s="75">
        <f t="shared" ref="EA5:EA28" si="25">SUM(DU5,DW5:DX5,DZ5)</f>
        <v>7.5</v>
      </c>
      <c r="EC5" s="165">
        <v>2</v>
      </c>
      <c r="ED5" s="32">
        <v>1</v>
      </c>
      <c r="EE5" s="32">
        <f>AVERAGE(3,3,2,2,3,3,3,2,3)</f>
        <v>2.6666666666666665</v>
      </c>
      <c r="EF5" s="32">
        <v>2</v>
      </c>
      <c r="EG5" s="32">
        <v>1</v>
      </c>
      <c r="EH5" s="33">
        <f t="shared" ref="EH5:EH28" si="26">SUM(ED5:EG5)</f>
        <v>6.6666666666666661</v>
      </c>
      <c r="EI5" s="32">
        <f>MEDIAN(3,3,2,2,3,3,3,2,3)</f>
        <v>3</v>
      </c>
      <c r="EJ5" s="75">
        <f t="shared" ref="EJ5:EJ28" si="27">SUM(ED5,EF5:EG5,EI5)</f>
        <v>7</v>
      </c>
      <c r="EL5" s="165">
        <v>2</v>
      </c>
      <c r="EM5" s="32">
        <v>0</v>
      </c>
      <c r="EN5" s="32">
        <f>AVERAGE(2,2,2,2,1,1,2,1)</f>
        <v>1.625</v>
      </c>
      <c r="EO5" s="32">
        <v>1</v>
      </c>
      <c r="EP5" s="32">
        <v>1</v>
      </c>
      <c r="EQ5" s="33">
        <f t="shared" ref="EQ5:EQ28" si="28">SUM(EM5:EP5)</f>
        <v>3.625</v>
      </c>
      <c r="ER5" s="197">
        <f>MEDIAN(2,2,2,2,1,1,2,1)</f>
        <v>2</v>
      </c>
      <c r="ES5">
        <f t="shared" ref="ES5:ES28" si="29">SUM(EM5,EO5,EP5,ER5)</f>
        <v>4</v>
      </c>
      <c r="EU5" s="165">
        <v>2</v>
      </c>
      <c r="EV5" s="32">
        <v>1</v>
      </c>
      <c r="EW5" s="32">
        <f>AVERAGE(2,3,3,2,2,2,3,2,2)</f>
        <v>2.3333333333333335</v>
      </c>
      <c r="EX5" s="32">
        <v>2</v>
      </c>
      <c r="EY5" s="32">
        <v>0</v>
      </c>
      <c r="EZ5" s="33">
        <f t="shared" ref="EZ5:EZ28" si="30">SUM(EV5:EY5)</f>
        <v>5.3333333333333339</v>
      </c>
      <c r="FA5" s="197">
        <f>MEDIAN(2,3,3,2,2,2,3,2,2)</f>
        <v>2</v>
      </c>
      <c r="FB5">
        <f t="shared" ref="FB5:FB28" si="31">SUM(EV5,EX5,EY5,FA5)</f>
        <v>5</v>
      </c>
      <c r="FD5" s="165">
        <v>2</v>
      </c>
      <c r="FE5" s="32">
        <v>0</v>
      </c>
      <c r="FF5" s="32">
        <f>AVERAGE(3)</f>
        <v>3</v>
      </c>
      <c r="FG5" s="32">
        <v>1</v>
      </c>
      <c r="FH5" s="32">
        <v>0</v>
      </c>
      <c r="FI5" s="33">
        <f t="shared" ref="FI5:FI28" si="32">SUM(FE5:FH5)</f>
        <v>4</v>
      </c>
      <c r="FJ5" s="197">
        <f>MEDIAN(3)</f>
        <v>3</v>
      </c>
      <c r="FK5">
        <f t="shared" ref="FK5:FK28" si="33">SUM(FE5,FG5,FH5,FJ5)</f>
        <v>4</v>
      </c>
      <c r="FM5" s="165">
        <v>2</v>
      </c>
      <c r="FN5" s="32">
        <v>1</v>
      </c>
      <c r="FO5" s="32">
        <f>AVERAGE(3,3,3)</f>
        <v>3</v>
      </c>
      <c r="FP5" s="32">
        <v>3</v>
      </c>
      <c r="FQ5" s="32">
        <v>1</v>
      </c>
      <c r="FR5" s="33">
        <f t="shared" ref="FR5:FR28" si="34">SUM(FN5:FQ5)</f>
        <v>8</v>
      </c>
      <c r="FS5" s="197">
        <f>MEDIAN(3,3,3)</f>
        <v>3</v>
      </c>
      <c r="FT5">
        <f t="shared" ref="FT5:FT28" si="35">SUM(FN5,FP5,FQ5,FS5)</f>
        <v>8</v>
      </c>
      <c r="FV5" s="165">
        <v>2</v>
      </c>
      <c r="FW5" s="32">
        <v>1</v>
      </c>
      <c r="FX5" s="32">
        <f>MEDIAN(3,3,2,2,3,3,2,3,3,3,3)</f>
        <v>3</v>
      </c>
      <c r="FY5" s="32">
        <v>1</v>
      </c>
      <c r="FZ5" s="32">
        <v>0</v>
      </c>
      <c r="GA5" s="33">
        <f t="shared" ref="GA5:GA28" si="36">SUM(FW5:FZ5)</f>
        <v>5</v>
      </c>
      <c r="GB5" s="32">
        <f>MEDIAN(3,3,2,2,3,3,2,3,3,3,3)</f>
        <v>3</v>
      </c>
      <c r="GC5">
        <f t="shared" ref="GC5:GC28" si="37">SUM(FW5,FY5,FZ5,GB5)</f>
        <v>5</v>
      </c>
      <c r="GE5" s="165">
        <v>2</v>
      </c>
      <c r="GF5" s="32">
        <v>1</v>
      </c>
      <c r="GG5" s="32">
        <f>MEDIAN(3,3,3,3,3,2,3)</f>
        <v>3</v>
      </c>
      <c r="GH5" s="32">
        <v>3</v>
      </c>
      <c r="GI5" s="32">
        <v>1</v>
      </c>
      <c r="GJ5" s="18">
        <f t="shared" ref="GJ5:GJ28" si="38">SUM(GF5:GI5)</f>
        <v>8</v>
      </c>
      <c r="GK5" s="32">
        <f>MEDIAN(3,3,3,3,3,2,3)</f>
        <v>3</v>
      </c>
      <c r="GL5">
        <f t="shared" ref="GL5:GL28" si="39">SUM(GF5,GH5,GI5,GK5)</f>
        <v>8</v>
      </c>
      <c r="GN5" s="165">
        <v>2</v>
      </c>
      <c r="GO5" s="32">
        <v>2</v>
      </c>
      <c r="GP5" s="32">
        <f>AVERAGE(2,2,3,3)</f>
        <v>2.5</v>
      </c>
      <c r="GQ5" s="32">
        <v>0</v>
      </c>
      <c r="GR5" s="32">
        <v>0</v>
      </c>
      <c r="GS5" s="33">
        <f t="shared" ref="GS5:GS28" si="40">SUM(GO5:GR5)</f>
        <v>4.5</v>
      </c>
      <c r="GT5" s="196">
        <f>MEDIAN(2,2,3,3)</f>
        <v>2.5</v>
      </c>
      <c r="GU5" s="32">
        <f t="shared" ref="GU5:GU28" si="41">SUM(GO5,GQ5,GR5,GT5)</f>
        <v>4.5</v>
      </c>
      <c r="GW5" s="165">
        <v>2</v>
      </c>
      <c r="GX5" s="32">
        <v>1</v>
      </c>
      <c r="GY5" s="32">
        <f>AVERAGE(2)</f>
        <v>2</v>
      </c>
      <c r="GZ5" s="32">
        <v>2</v>
      </c>
      <c r="HA5" s="32">
        <v>2</v>
      </c>
      <c r="HB5" s="33">
        <f t="shared" ref="HB5:HB28" si="42">SUM(GX5:HA5)</f>
        <v>7</v>
      </c>
      <c r="HC5" s="196">
        <f>MEDIAN(2)</f>
        <v>2</v>
      </c>
      <c r="HD5">
        <f t="shared" ref="HD5:HD28" si="43">SUM(GX5,GZ5,HA5,HC5)</f>
        <v>7</v>
      </c>
      <c r="HF5" s="165">
        <v>2</v>
      </c>
      <c r="HG5" s="32">
        <v>0</v>
      </c>
      <c r="HH5" s="32">
        <f>AVERAGE(3,3,3,3,3,3)</f>
        <v>3</v>
      </c>
      <c r="HI5" s="32">
        <v>3</v>
      </c>
      <c r="HJ5" s="32">
        <v>1</v>
      </c>
      <c r="HK5" s="33">
        <f t="shared" ref="HK5:HK28" si="44">SUM(HG5:HJ5)</f>
        <v>7</v>
      </c>
      <c r="HL5" s="32">
        <f>MEDIAN(3,3,3,3,3,3)</f>
        <v>3</v>
      </c>
      <c r="HM5">
        <f t="shared" ref="HM5:HM28" si="45">SUM(HG5,HI5,HJ5,HL5)</f>
        <v>7</v>
      </c>
      <c r="HO5" s="165">
        <v>2</v>
      </c>
      <c r="HP5" s="32">
        <v>1</v>
      </c>
      <c r="HQ5" s="32">
        <f>AVERAGE(3,2,3,3)</f>
        <v>2.75</v>
      </c>
      <c r="HR5" s="32">
        <v>3</v>
      </c>
      <c r="HS5" s="32">
        <v>1</v>
      </c>
      <c r="HT5" s="33">
        <f t="shared" ref="HT5:HT28" si="46">SUM(HP5:HS5)</f>
        <v>7.75</v>
      </c>
      <c r="HU5" s="32">
        <f>MEDIAN(3,2,3,3)</f>
        <v>3</v>
      </c>
      <c r="HV5">
        <f t="shared" ref="HV5:HV28" si="47">SUM(HP5,HR5,HS5,HU5)</f>
        <v>8</v>
      </c>
      <c r="HX5" s="165">
        <v>2</v>
      </c>
      <c r="HY5" s="32">
        <v>0</v>
      </c>
      <c r="HZ5" s="32">
        <f>MEDIAN(2,2,2,3,2,2,2,2,2,2)</f>
        <v>2</v>
      </c>
      <c r="IA5" s="32">
        <v>1</v>
      </c>
      <c r="IB5" s="32">
        <v>1</v>
      </c>
      <c r="IC5" s="33">
        <f t="shared" ref="IC5:IC23" si="48">SUM(HY5:IB5)</f>
        <v>4</v>
      </c>
      <c r="ID5" s="32">
        <f>MEDIAN(2,2,2,3,2,2,2,2,2,2)</f>
        <v>2</v>
      </c>
      <c r="IE5">
        <f t="shared" ref="IE5:IE23" si="49">SUM(HY5,IA5,IB5,ID5)</f>
        <v>4</v>
      </c>
      <c r="IG5" s="165">
        <v>2</v>
      </c>
      <c r="IH5" s="32">
        <v>0</v>
      </c>
      <c r="II5" s="32">
        <f>MEDIAN(3,2,2,2,3,3,2,3,3,2)</f>
        <v>2.5</v>
      </c>
      <c r="IJ5" s="32">
        <v>0</v>
      </c>
      <c r="IK5" s="32">
        <v>0</v>
      </c>
      <c r="IL5" s="33">
        <f t="shared" ref="IL5:IL28" si="50">SUM(IH5:IK5)</f>
        <v>2.5</v>
      </c>
      <c r="IM5" s="32">
        <f>MEDIAN(3,2,2,2,3,3,2,3,3,2)</f>
        <v>2.5</v>
      </c>
      <c r="IN5">
        <f t="shared" ref="IN5:IN28" si="51">SUM(IH5,IJ5,IK5,IM5)</f>
        <v>2.5</v>
      </c>
      <c r="IP5" s="165">
        <v>2</v>
      </c>
      <c r="IQ5" s="32">
        <v>0</v>
      </c>
      <c r="IR5" s="32">
        <f>AVERAGE(3,3,3,3,3,3,3,3,3,3)</f>
        <v>3</v>
      </c>
      <c r="IS5" s="32">
        <v>2</v>
      </c>
      <c r="IT5" s="32">
        <v>1</v>
      </c>
      <c r="IU5" s="33">
        <f t="shared" ref="IU5:IU28" si="52">SUM(IQ5:IT5)</f>
        <v>6</v>
      </c>
      <c r="IV5" s="32">
        <f>MEDIAN(3,3,3,3,3,3,3,3,3,3)</f>
        <v>3</v>
      </c>
      <c r="IW5">
        <f t="shared" ref="IW5:IW28" si="53">SUM(IQ5,IS5,IT5,IV5)</f>
        <v>6</v>
      </c>
      <c r="IY5" s="165">
        <v>2</v>
      </c>
      <c r="IZ5" s="32">
        <v>0</v>
      </c>
      <c r="JA5" s="32">
        <f>AVERAGE(2,3,3,3,3,3,3,3,3)</f>
        <v>2.8888888888888888</v>
      </c>
      <c r="JB5" s="32">
        <v>1</v>
      </c>
      <c r="JC5" s="32">
        <v>1</v>
      </c>
      <c r="JD5" s="33">
        <f t="shared" ref="JD5:JD28" si="54">SUM(IZ5:JC5)</f>
        <v>4.8888888888888893</v>
      </c>
      <c r="JE5" s="32">
        <f>MEDIAN(2,3,3,3,3,3,3,3,3)</f>
        <v>3</v>
      </c>
      <c r="JF5">
        <f t="shared" ref="JF5:JF28" si="55">SUM(IZ5,JB5,JC5,JE5)</f>
        <v>5</v>
      </c>
      <c r="JH5" s="165">
        <v>2</v>
      </c>
      <c r="JI5" s="32">
        <v>1</v>
      </c>
      <c r="JJ5" s="32">
        <f>MEDIAN(3,3,3,3,3,3,3,3,3,2)</f>
        <v>3</v>
      </c>
      <c r="JK5" s="32">
        <v>3</v>
      </c>
      <c r="JL5" s="32">
        <v>2</v>
      </c>
      <c r="JM5" s="33">
        <f t="shared" ref="JM5:JM28" si="56">SUM(JI5:JL5)</f>
        <v>9</v>
      </c>
      <c r="JN5" s="32">
        <f>MEDIAN(3,3,3,3,3,3,3,3,3,2)</f>
        <v>3</v>
      </c>
      <c r="JO5">
        <f t="shared" ref="JO5:JO28" si="57">SUM(JI5,JK5,JL5,JN5)</f>
        <v>9</v>
      </c>
      <c r="JQ5" s="165">
        <v>2</v>
      </c>
      <c r="JR5" s="32">
        <v>0</v>
      </c>
      <c r="JS5" s="32">
        <f>MEDIAN(3,3,3,2,3)</f>
        <v>3</v>
      </c>
      <c r="JT5" s="32">
        <v>0</v>
      </c>
      <c r="JU5" s="32">
        <v>1</v>
      </c>
      <c r="JV5" s="33">
        <f t="shared" ref="JV5:JV28" si="58">SUM(JR5:JU5)</f>
        <v>4</v>
      </c>
      <c r="JW5" s="32">
        <f>MEDIAN(3,3,3,2,3)</f>
        <v>3</v>
      </c>
      <c r="JX5">
        <f t="shared" ref="JX5:JX28" si="59">SUM(JR5,JT5,JU5,JW5)</f>
        <v>4</v>
      </c>
      <c r="JZ5" s="165">
        <v>2</v>
      </c>
      <c r="KA5" s="32">
        <v>1</v>
      </c>
      <c r="KB5" s="32">
        <f>AVERAGE(3,3,3,3,3)</f>
        <v>3</v>
      </c>
      <c r="KC5" s="32">
        <v>3</v>
      </c>
      <c r="KD5" s="32">
        <v>1</v>
      </c>
      <c r="KE5" s="33">
        <f t="shared" ref="KE5:KE28" si="60">SUM(KA5:KD5)</f>
        <v>8</v>
      </c>
      <c r="KF5" s="32">
        <f>MEDIAN(3,3,3,3,3)</f>
        <v>3</v>
      </c>
      <c r="KG5">
        <f t="shared" ref="KG5:KG28" si="61">SUM(KA5,KC5,KD5,KF5)</f>
        <v>8</v>
      </c>
      <c r="KI5" s="165">
        <v>2</v>
      </c>
      <c r="KJ5" s="32">
        <v>0</v>
      </c>
      <c r="KK5" s="32">
        <f>AVERAGE(3,3,2,2,2,3)</f>
        <v>2.5</v>
      </c>
      <c r="KL5" s="32">
        <v>2</v>
      </c>
      <c r="KM5" s="32">
        <v>1</v>
      </c>
      <c r="KN5" s="33">
        <f t="shared" ref="KN5:KN28" si="62">SUM(KJ5:KM5)</f>
        <v>5.5</v>
      </c>
      <c r="KO5" s="32">
        <f>MEDIAN(3,3,2,2,2,3)</f>
        <v>2.5</v>
      </c>
      <c r="KP5">
        <f t="shared" ref="KP5:KP28" si="63">SUM(KJ5,KL5,KM5,KO5)</f>
        <v>5.5</v>
      </c>
      <c r="KR5" s="165">
        <v>2</v>
      </c>
      <c r="KS5" s="32">
        <v>1</v>
      </c>
      <c r="KT5" s="32">
        <f>AVERAGE(3,3)</f>
        <v>3</v>
      </c>
      <c r="KU5" s="32">
        <v>2</v>
      </c>
      <c r="KV5" s="32">
        <v>3</v>
      </c>
      <c r="KW5" s="33">
        <f t="shared" ref="KW5:KW28" si="64">SUM(KS5:KV5)</f>
        <v>9</v>
      </c>
      <c r="KX5" s="32">
        <f>MEDIAN(3,3)</f>
        <v>3</v>
      </c>
      <c r="KY5">
        <f t="shared" ref="KY5:KY28" si="65">SUM(KS5,KU5,KV5,KX5)</f>
        <v>9</v>
      </c>
      <c r="LA5" s="165">
        <v>2</v>
      </c>
      <c r="LB5" s="32">
        <v>1</v>
      </c>
      <c r="LC5" s="32">
        <f>AVERAGE(3,2,3,3)</f>
        <v>2.75</v>
      </c>
      <c r="LD5" s="32">
        <v>3</v>
      </c>
      <c r="LE5" s="32">
        <v>3</v>
      </c>
      <c r="LF5" s="33">
        <f t="shared" ref="LF5:LF28" si="66">SUM(LB5:LE5)</f>
        <v>9.75</v>
      </c>
      <c r="LG5" s="32">
        <f>MEDIAN(3,2,3,3)</f>
        <v>3</v>
      </c>
      <c r="LH5">
        <f t="shared" ref="LH5:LH28" si="67">SUM(LB5,LD5,LE5,LG5)</f>
        <v>10</v>
      </c>
      <c r="LK5" s="165">
        <v>2</v>
      </c>
      <c r="LL5" s="32">
        <v>0</v>
      </c>
      <c r="LM5" s="32">
        <f>AVERAGE(3,3,3,3,2,3)</f>
        <v>2.8333333333333335</v>
      </c>
      <c r="LN5" s="32">
        <v>2</v>
      </c>
      <c r="LO5" s="32">
        <v>1</v>
      </c>
      <c r="LP5" s="33">
        <f t="shared" ref="LP5:LP28" si="68">SUM(LL5:LO5)</f>
        <v>5.8333333333333339</v>
      </c>
      <c r="LQ5" s="32">
        <f>MEDIAN(3,3,3,3,2,3)</f>
        <v>3</v>
      </c>
      <c r="LR5">
        <f t="shared" ref="LR5:LR28" si="69">SUM(LL5,LN5,LO5,LQ5)</f>
        <v>6</v>
      </c>
      <c r="LT5" s="165">
        <v>2</v>
      </c>
      <c r="LU5" s="32">
        <v>0</v>
      </c>
      <c r="LV5" s="32">
        <f>AVERAGE(3,2,2,2,3,3,2,2)</f>
        <v>2.375</v>
      </c>
      <c r="LW5" s="32">
        <v>1</v>
      </c>
      <c r="LX5" s="32">
        <v>1</v>
      </c>
      <c r="LY5" s="33">
        <f t="shared" ref="LY5:LY28" si="70">SUM(LU5:LX5)</f>
        <v>4.375</v>
      </c>
      <c r="LZ5" s="32">
        <f>MEDIAN(3,2,2,2,3,3,2,2)</f>
        <v>2</v>
      </c>
      <c r="MA5">
        <f t="shared" ref="MA5:MA28" si="71">SUM(LU5,LW5,LX5,LZ5)</f>
        <v>4</v>
      </c>
      <c r="MC5" s="165">
        <v>2</v>
      </c>
      <c r="MD5" s="32">
        <v>1</v>
      </c>
      <c r="ME5" s="32">
        <f>AVERAGE(3,3,2,3,3,3,2,2,3,2,3,3,2,3,3,2,3,2,3,3,3,3,2,2,2,3,3,2,2,3,3,2)</f>
        <v>2.59375</v>
      </c>
      <c r="MF5" s="32">
        <v>3</v>
      </c>
      <c r="MG5" s="32">
        <v>2</v>
      </c>
      <c r="MH5" s="33">
        <f t="shared" ref="MH5:MH28" si="72">SUM(MD5:MG5)</f>
        <v>8.59375</v>
      </c>
      <c r="MI5" s="32">
        <f>MEDIAN(3,3,2,3,3,3,2,2,3,2,3,3,2,3,3,2,3,2,3,3,3,3,2,2,2,3,3,2,2,3,3,2)</f>
        <v>3</v>
      </c>
      <c r="MJ5">
        <f t="shared" ref="MJ5:MJ28" si="73">SUM(MD5,MF5,MG5,MI5)</f>
        <v>9</v>
      </c>
      <c r="ML5" s="165">
        <v>2</v>
      </c>
      <c r="MM5" s="32">
        <v>1</v>
      </c>
      <c r="MN5" s="32">
        <f>AVERAGE(3,2,3,3,3,2,3,3,2,3,3,3,3,3,3)</f>
        <v>2.8</v>
      </c>
      <c r="MO5" s="32">
        <v>2</v>
      </c>
      <c r="MP5" s="32">
        <v>2</v>
      </c>
      <c r="MQ5" s="33">
        <f t="shared" ref="MQ5:MQ28" si="74">SUM(MM5:MP5)</f>
        <v>7.8</v>
      </c>
      <c r="MR5" s="32">
        <f>MEDIAN(3,2,3,3,3,2,3,3,2,3,3,3,3,3,3)</f>
        <v>3</v>
      </c>
      <c r="MS5">
        <f t="shared" ref="MS5:MS28" si="75">SUM(MM5,MO5,MP5,MR5)</f>
        <v>8</v>
      </c>
      <c r="MU5" s="165">
        <v>2</v>
      </c>
      <c r="MV5" s="32">
        <v>1</v>
      </c>
      <c r="MW5" s="32">
        <f>MEDIAN(3,2,2,2,2,2,2,2,2,2,2,2,3)</f>
        <v>2</v>
      </c>
      <c r="MX5" s="32">
        <v>1</v>
      </c>
      <c r="MY5" s="32">
        <v>1</v>
      </c>
      <c r="MZ5" s="33">
        <f t="shared" ref="MZ5:MZ28" si="76">SUM(MV5:MY5)</f>
        <v>5</v>
      </c>
      <c r="NA5" s="32">
        <f>MEDIAN(3,2,2,2,2,2,2,2,2,2,2,2,3)</f>
        <v>2</v>
      </c>
      <c r="NB5">
        <f t="shared" ref="NB5:NB28" si="77">SUM(MV5,MX5,MY5,NA5)</f>
        <v>5</v>
      </c>
      <c r="ND5" s="165">
        <v>2</v>
      </c>
      <c r="NE5" s="32">
        <v>1</v>
      </c>
      <c r="NF5" s="32">
        <f>MEDIAN(3,3,2,3,3,2)</f>
        <v>3</v>
      </c>
      <c r="NG5" s="32">
        <v>2</v>
      </c>
      <c r="NH5" s="32">
        <v>1</v>
      </c>
      <c r="NI5" s="33">
        <f t="shared" ref="NI5:NI28" si="78">SUM(NE5:NH5)</f>
        <v>7</v>
      </c>
      <c r="NJ5" s="32">
        <f>MEDIAN(3,3,2,3,3,2)</f>
        <v>3</v>
      </c>
      <c r="NK5">
        <f t="shared" ref="NK5:NK28" si="79">SUM(NE5,NG5,NH5,NJ5)</f>
        <v>7</v>
      </c>
      <c r="NM5" s="165">
        <v>2</v>
      </c>
      <c r="NN5" s="32">
        <v>1</v>
      </c>
      <c r="NO5" s="32">
        <f>AVERAGE(3,3,3,3,3,3,3,3,3)</f>
        <v>3</v>
      </c>
      <c r="NP5" s="32">
        <v>2</v>
      </c>
      <c r="NQ5" s="32">
        <v>3</v>
      </c>
      <c r="NR5" s="33">
        <f t="shared" ref="NR5:NR28" si="80">SUM(NN5:NQ5)</f>
        <v>9</v>
      </c>
      <c r="NS5" s="32">
        <f>MEDIAN(3,3,3,3,3,3,3,3,3)</f>
        <v>3</v>
      </c>
      <c r="NT5">
        <f t="shared" ref="NT5:NT28" si="81">SUM(NN5,NP5,NQ5,NS5)</f>
        <v>9</v>
      </c>
      <c r="NV5" s="165">
        <v>2</v>
      </c>
      <c r="NW5" s="32">
        <v>1</v>
      </c>
      <c r="NX5" s="32">
        <f>AVERAGE(3,3,3,3,3,3,3,3,3)</f>
        <v>3</v>
      </c>
      <c r="NY5" s="32">
        <v>3</v>
      </c>
      <c r="NZ5" s="32">
        <v>3</v>
      </c>
      <c r="OA5" s="33">
        <f t="shared" ref="OA5:OA28" si="82">SUM(NW5:NZ5)</f>
        <v>10</v>
      </c>
      <c r="OB5" s="32">
        <f>MEDIAN(3,3,3,3,3,3,3,3,3)</f>
        <v>3</v>
      </c>
      <c r="OC5">
        <f t="shared" ref="OC5:OC28" si="83">SUM(NW5,NY5,NZ5,OB5)</f>
        <v>10</v>
      </c>
      <c r="OE5" s="165">
        <v>2</v>
      </c>
      <c r="OF5" s="32">
        <v>2</v>
      </c>
      <c r="OG5" s="32">
        <f>MEDIAN(3,3,3,2,3,3)</f>
        <v>3</v>
      </c>
      <c r="OH5" s="32">
        <v>1</v>
      </c>
      <c r="OI5" s="32">
        <v>1</v>
      </c>
      <c r="OJ5" s="33">
        <f t="shared" ref="OJ5:OJ28" si="84">SUM(OF5:OI5)</f>
        <v>7</v>
      </c>
      <c r="OK5" s="32">
        <f>MEDIAN(3,3,3,2,3,3)</f>
        <v>3</v>
      </c>
      <c r="OL5">
        <f t="shared" ref="OL5:OL28" si="85">SUM(OF5,OH5,OI5,OK5)</f>
        <v>7</v>
      </c>
      <c r="ON5" s="165">
        <v>2</v>
      </c>
      <c r="OO5" s="32">
        <v>1</v>
      </c>
      <c r="OP5" s="32">
        <f>MEDIAN(2,3,3,3,3,2,2,3,2)</f>
        <v>3</v>
      </c>
      <c r="OQ5" s="32">
        <v>2</v>
      </c>
      <c r="OR5" s="32">
        <v>1</v>
      </c>
      <c r="OS5" s="33">
        <f t="shared" ref="OS5:OS28" si="86">SUM(OO5:OR5)</f>
        <v>7</v>
      </c>
      <c r="OT5" s="32">
        <f>MEDIAN(2,3,3,3,3,2,2,3,2)</f>
        <v>3</v>
      </c>
      <c r="OU5">
        <f t="shared" ref="OU5:OU28" si="87">SUM(OO5,OQ5,OR5,OT5)</f>
        <v>7</v>
      </c>
      <c r="OW5" s="165">
        <v>2</v>
      </c>
      <c r="OX5" s="32">
        <v>1</v>
      </c>
      <c r="OY5" s="32">
        <f>AVERAGE(2,3,3)</f>
        <v>2.6666666666666665</v>
      </c>
      <c r="OZ5" s="32">
        <v>1</v>
      </c>
      <c r="PA5" s="32">
        <v>0</v>
      </c>
      <c r="PB5" s="33">
        <f t="shared" ref="PB5:PB28" si="88">SUM(OX5:PA5)</f>
        <v>4.6666666666666661</v>
      </c>
      <c r="PC5" s="32">
        <f>MEDIAN(2,3,3)</f>
        <v>3</v>
      </c>
      <c r="PD5">
        <f t="shared" ref="PD5:PD28" si="89">SUM(OX5,OZ5,PA5,PC5)</f>
        <v>5</v>
      </c>
      <c r="PF5" s="165">
        <v>2</v>
      </c>
      <c r="PG5" s="32">
        <v>1</v>
      </c>
      <c r="PH5" s="32">
        <f>AVERAGE(3,2,2,2)</f>
        <v>2.25</v>
      </c>
      <c r="PI5" s="32">
        <v>1</v>
      </c>
      <c r="PJ5" s="32">
        <v>1</v>
      </c>
      <c r="PK5" s="33">
        <f t="shared" ref="PK5:PK28" si="90">SUM(PG5:PJ5)</f>
        <v>5.25</v>
      </c>
      <c r="PL5" s="32">
        <f>MEDIAN(3,2,2,2)</f>
        <v>2</v>
      </c>
      <c r="PM5">
        <f t="shared" ref="PM5:PM28" si="91">SUM(PG5,PI5,PJ5,PL5)</f>
        <v>5</v>
      </c>
      <c r="PO5" s="165">
        <v>2</v>
      </c>
      <c r="PP5" s="32">
        <v>0</v>
      </c>
      <c r="PQ5" s="32">
        <f>MEDIAN(3,3,3,3,3,3,2,2,3,2,3,3,3,3,2,2,2,3,3,3,2)</f>
        <v>3</v>
      </c>
      <c r="PR5" s="32">
        <v>0</v>
      </c>
      <c r="PS5" s="32">
        <v>0</v>
      </c>
      <c r="PT5" s="33">
        <f t="shared" ref="PT5:PT28" si="92">SUM(PP5:PS5)</f>
        <v>3</v>
      </c>
      <c r="PV5" s="165">
        <v>2</v>
      </c>
      <c r="PW5" s="32">
        <v>1</v>
      </c>
      <c r="PX5" s="32">
        <f>MEDIAN(3,3,3,2,3,1,2)</f>
        <v>3</v>
      </c>
      <c r="PY5" s="32">
        <v>2</v>
      </c>
      <c r="PZ5" s="32">
        <v>1</v>
      </c>
      <c r="QA5" s="33">
        <f t="shared" ref="QA5:QA28" si="93">SUM(PW5:PZ5)</f>
        <v>7</v>
      </c>
      <c r="QB5" s="32">
        <f>MEDIAN(3,3,3,2,3,1,2)</f>
        <v>3</v>
      </c>
      <c r="QC5">
        <f t="shared" ref="QC5:QC28" si="94">SUM(PW5,PY5,PZ5,QB5)</f>
        <v>7</v>
      </c>
      <c r="QE5" s="165">
        <v>2</v>
      </c>
      <c r="QF5" s="32">
        <v>0</v>
      </c>
      <c r="QG5" s="32">
        <f>MEDIAN(3,2,3,2,2,3,2,3,3,2,2,3,3)</f>
        <v>3</v>
      </c>
      <c r="QH5" s="32">
        <v>0</v>
      </c>
      <c r="QI5" s="32">
        <v>1</v>
      </c>
      <c r="QJ5" s="33">
        <f t="shared" ref="QJ5:QJ28" si="95">SUM(QF5:QI5)</f>
        <v>4</v>
      </c>
      <c r="QK5" s="32">
        <f>MEDIAN(3,2,3,2,2,3,2,3,3,2,2,3,3)</f>
        <v>3</v>
      </c>
      <c r="QL5">
        <f t="shared" ref="QL5:QL28" si="96">SUM(QF5,QH5,QI5,QK5)</f>
        <v>4</v>
      </c>
      <c r="QN5" s="165">
        <v>2</v>
      </c>
      <c r="QO5" s="32">
        <v>0</v>
      </c>
      <c r="QP5" s="32">
        <f>MEDIAN(3,3,3,2,3,3,3,3,2,3,2)</f>
        <v>3</v>
      </c>
      <c r="QQ5" s="32">
        <v>1</v>
      </c>
      <c r="QR5" s="32">
        <v>1</v>
      </c>
      <c r="QS5" s="33">
        <f t="shared" ref="QS5:QS28" si="97">SUM(QO5:QR5)</f>
        <v>5</v>
      </c>
      <c r="QT5" s="32">
        <f>MEDIAN(3,3,3,2,3,3,3,3,2,3,2)</f>
        <v>3</v>
      </c>
      <c r="QU5">
        <f t="shared" ref="QU5:QU28" si="98">SUM(QO5,QQ5,QR5,QT5)</f>
        <v>5</v>
      </c>
      <c r="QW5" s="165">
        <v>2</v>
      </c>
      <c r="QX5" s="32">
        <v>1</v>
      </c>
      <c r="QY5" s="32">
        <f>AVERAGE(2,3,2,2,2,3,3,3,2,3,3,)</f>
        <v>2.3333333333333335</v>
      </c>
      <c r="QZ5" s="32">
        <v>3</v>
      </c>
      <c r="RA5" s="32">
        <v>2</v>
      </c>
      <c r="RB5" s="33">
        <f t="shared" ref="RB5:RB28" si="99">SUM(QX5:RA5)</f>
        <v>8.3333333333333339</v>
      </c>
      <c r="RC5" s="32">
        <f>MEDIAN(2,3,2,2,2,3,3,3,2,3,3,)</f>
        <v>2.5</v>
      </c>
      <c r="RD5">
        <f t="shared" ref="RD5:RD28" si="100">SUM(QX5,QZ5,RA5,RC5)</f>
        <v>8.5</v>
      </c>
      <c r="RF5" s="165">
        <v>2</v>
      </c>
      <c r="RG5" s="32">
        <v>2</v>
      </c>
      <c r="RH5" s="32">
        <f>AVERAGE(2,2,3,2,3,3,3)</f>
        <v>2.5714285714285716</v>
      </c>
      <c r="RI5" s="32">
        <v>3</v>
      </c>
      <c r="RJ5" s="32">
        <v>1</v>
      </c>
      <c r="RK5" s="33">
        <f t="shared" ref="RK5:RK28" si="101">SUM(RG5:RJ5)</f>
        <v>8.5714285714285712</v>
      </c>
      <c r="RL5" s="32">
        <f>MEDIAN(2,2,3,2,3,3,3)</f>
        <v>3</v>
      </c>
      <c r="RM5">
        <f t="shared" ref="RM5:RM28" si="102">SUM(RG5,RI5,RJ5,RL5)</f>
        <v>9</v>
      </c>
      <c r="RO5" s="165">
        <v>2</v>
      </c>
      <c r="RP5" s="32">
        <v>0</v>
      </c>
      <c r="RQ5" s="32">
        <f>AVERAGE(3,3,2,3,3,2,2,3,3)</f>
        <v>2.6666666666666665</v>
      </c>
      <c r="RR5" s="32">
        <v>0</v>
      </c>
      <c r="RS5" s="32">
        <v>1</v>
      </c>
      <c r="RT5" s="33">
        <f t="shared" ref="RT5:RT28" si="103">SUM(RP5:RS5)</f>
        <v>3.6666666666666665</v>
      </c>
      <c r="RU5" s="32">
        <f>MEDIAN(3,3,2,3,3,2,2,3,3)</f>
        <v>3</v>
      </c>
      <c r="RV5">
        <f t="shared" ref="RV5:RV28" si="104">SUM(RP5,RR5,RS5,RU5)</f>
        <v>4</v>
      </c>
      <c r="RX5" s="165">
        <v>2</v>
      </c>
      <c r="RY5" s="32">
        <v>2</v>
      </c>
      <c r="RZ5" s="32">
        <f>AVERAGE(3,3,3,3,3,3,2,3,3,3,2)</f>
        <v>2.8181818181818183</v>
      </c>
      <c r="SA5" s="32">
        <v>3</v>
      </c>
      <c r="SB5" s="32">
        <v>1</v>
      </c>
      <c r="SC5" s="33">
        <f t="shared" ref="SC5:SC28" si="105">SUM(RY5:SB5)</f>
        <v>8.8181818181818183</v>
      </c>
      <c r="SD5" s="32">
        <f>MEDIAN(3,3,3,3,3,3,2,3,3,3,2)</f>
        <v>3</v>
      </c>
      <c r="SE5">
        <f t="shared" ref="SE5:SE28" si="106">SUM(RY5,SA5,SB5,SD5)</f>
        <v>9</v>
      </c>
      <c r="SG5" s="165">
        <v>2</v>
      </c>
      <c r="SH5" s="32">
        <v>0</v>
      </c>
      <c r="SI5" s="32">
        <f>MEDIAN(2,3,2,3,3,2,2,3,3,2,3,2)</f>
        <v>2.5</v>
      </c>
      <c r="SJ5" s="32">
        <v>0</v>
      </c>
      <c r="SK5" s="32">
        <v>1</v>
      </c>
      <c r="SL5" s="33">
        <f t="shared" ref="SL5:SL28" si="107">SUM(SH5:SK5)</f>
        <v>3.5</v>
      </c>
      <c r="SM5" s="32">
        <f>MEDIAN(2,3,2,3,3,2,2,3,3,2,3,2)</f>
        <v>2.5</v>
      </c>
      <c r="SN5">
        <f t="shared" ref="SN5:SN28" si="108">SUM(SH5,SJ5,SK5,SM5)</f>
        <v>3.5</v>
      </c>
      <c r="SP5" s="165">
        <v>2</v>
      </c>
      <c r="SQ5" s="32">
        <v>1</v>
      </c>
      <c r="SR5" s="32">
        <f>MEDIAN(3,3,3)</f>
        <v>3</v>
      </c>
      <c r="SS5" s="32">
        <v>3</v>
      </c>
      <c r="ST5" s="32">
        <v>1</v>
      </c>
      <c r="SU5" s="33">
        <f t="shared" ref="SU5:SU28" si="109">SUM(SQ5:ST5)</f>
        <v>8</v>
      </c>
      <c r="SV5" s="32">
        <f>MEDIAN(3,3,3)</f>
        <v>3</v>
      </c>
      <c r="SW5">
        <f t="shared" ref="SW5:SW28" si="110">SUM(SQ5,SS5,ST5,SV5)</f>
        <v>8</v>
      </c>
      <c r="SY5" s="165">
        <v>2</v>
      </c>
      <c r="SZ5" s="32">
        <v>1</v>
      </c>
      <c r="TA5" s="32">
        <f>AVERAGE(3,3,2)</f>
        <v>2.6666666666666665</v>
      </c>
      <c r="TB5" s="32">
        <v>1</v>
      </c>
      <c r="TC5" s="32">
        <v>1</v>
      </c>
      <c r="TD5" s="33">
        <f t="shared" ref="TD5:TD28" si="111">SUM(SZ5:TC5)</f>
        <v>5.6666666666666661</v>
      </c>
      <c r="TE5" s="32">
        <f>MEDIAN(3,3,2)</f>
        <v>3</v>
      </c>
      <c r="TF5">
        <f t="shared" ref="TF5:TF28" si="112">SUM(SZ5,TB5,TC5,TE5)</f>
        <v>6</v>
      </c>
      <c r="TH5" s="165">
        <v>2</v>
      </c>
      <c r="TI5" s="32">
        <v>2</v>
      </c>
      <c r="TJ5" s="32">
        <f>MEDIAN(3,3,3,2,2,3,3,2,2,3,2,3,3,3,2,2)</f>
        <v>3</v>
      </c>
      <c r="TK5" s="32">
        <v>2</v>
      </c>
      <c r="TL5" s="32">
        <v>3</v>
      </c>
      <c r="TM5" s="33">
        <f t="shared" ref="TM5:TM28" si="113">SUM(TI5:TL5)</f>
        <v>10</v>
      </c>
      <c r="TN5" s="32">
        <f>MEDIAN(3,3,3,2,2,3,3,2,2,3,2,3,3,3,2,2)</f>
        <v>3</v>
      </c>
      <c r="TO5">
        <f t="shared" ref="TO5:TO28" si="114">SUM(TI5,TK5,TL5,TN5)</f>
        <v>10</v>
      </c>
      <c r="TQ5" s="165">
        <v>2</v>
      </c>
      <c r="TR5" s="32">
        <v>2</v>
      </c>
      <c r="TS5" s="32">
        <f>MEDIAN(3,3,3,2,3,3,1,2,3,3,2,2)</f>
        <v>3</v>
      </c>
      <c r="TT5" s="32">
        <v>3</v>
      </c>
      <c r="TU5" s="32">
        <v>3</v>
      </c>
      <c r="TV5" s="33">
        <f t="shared" ref="TV5:TV28" si="115">SUM(TR5:TU5)</f>
        <v>11</v>
      </c>
      <c r="TX5" s="165">
        <v>2</v>
      </c>
      <c r="TY5" s="32">
        <v>2</v>
      </c>
      <c r="TZ5" s="32">
        <f>MEDIAN(3,3,3,3,3,3,2,2,2,2,1,3,3,3,2,2,2,2)</f>
        <v>2.5</v>
      </c>
      <c r="UA5" s="32">
        <v>2</v>
      </c>
      <c r="UB5" s="32">
        <v>1</v>
      </c>
      <c r="UC5" s="33">
        <f t="shared" ref="UC5:UC28" si="116">SUM(TY5:UB5)</f>
        <v>7.5</v>
      </c>
      <c r="UD5" s="32">
        <f>MEDIAN(3,3,3,3,3,3,2,2,2,2,1,3,3,3,2,2,2,2)</f>
        <v>2.5</v>
      </c>
      <c r="UE5">
        <f t="shared" ref="UE5:UE28" si="117">SUM(TY5,UA5,UB5,UD5)</f>
        <v>7.5</v>
      </c>
      <c r="UG5" s="165">
        <v>2</v>
      </c>
      <c r="UH5" s="32">
        <v>0</v>
      </c>
      <c r="UI5" s="32">
        <f>MEDIAN(3,3,3,3,3,3,3,3,3,3,3)</f>
        <v>3</v>
      </c>
      <c r="UJ5" s="32">
        <v>1</v>
      </c>
      <c r="UK5" s="32">
        <v>1</v>
      </c>
      <c r="UL5" s="33">
        <f t="shared" ref="UL5:UL27" si="118">SUM(UH5:UK5)</f>
        <v>5</v>
      </c>
      <c r="UN5" s="165">
        <v>2</v>
      </c>
      <c r="UO5" s="32">
        <v>0</v>
      </c>
      <c r="UP5" s="32">
        <f>AVERAGE(2,2,2,2,3,2,2,3,3)</f>
        <v>2.3333333333333335</v>
      </c>
      <c r="UQ5" s="32">
        <v>3</v>
      </c>
      <c r="UR5" s="32">
        <v>2</v>
      </c>
      <c r="US5" s="33">
        <f t="shared" ref="US5:US28" si="119">SUM(UO5:UR5)</f>
        <v>7.3333333333333339</v>
      </c>
      <c r="UT5" s="32">
        <f>MEDIAN(2,2,2,2,3,2,2,3,3)</f>
        <v>2</v>
      </c>
      <c r="UU5">
        <f t="shared" ref="UU5:UU28" si="120">SUM(UO5,UQ5,UR5,UT5)</f>
        <v>7</v>
      </c>
      <c r="UW5" s="165">
        <v>2</v>
      </c>
      <c r="UX5" s="32">
        <v>2</v>
      </c>
      <c r="UY5" s="32">
        <f>AVERAGE(3,3,3,3,3)</f>
        <v>3</v>
      </c>
      <c r="UZ5" s="32">
        <v>1</v>
      </c>
      <c r="VA5" s="32">
        <v>1</v>
      </c>
      <c r="VB5" s="33">
        <f t="shared" ref="VB5:VB28" si="121">SUM(UX5:VA5)</f>
        <v>7</v>
      </c>
      <c r="VC5" s="32">
        <f>MEDIAN(3,3,3,3,3)</f>
        <v>3</v>
      </c>
      <c r="VD5">
        <f t="shared" ref="VD5:VD28" si="122">SUM(UX5,UZ5,VA5,VC5)</f>
        <v>7</v>
      </c>
      <c r="VF5" s="165">
        <v>2</v>
      </c>
      <c r="VG5" s="32">
        <v>1</v>
      </c>
      <c r="VH5" s="32">
        <f>AVERAGE(3,3,2,2,2)</f>
        <v>2.4</v>
      </c>
      <c r="VI5" s="32">
        <v>3</v>
      </c>
      <c r="VJ5" s="32">
        <v>1</v>
      </c>
      <c r="VK5" s="33">
        <f t="shared" ref="VK5:VK28" si="123">SUM(VG5:VJ5)</f>
        <v>7.4</v>
      </c>
      <c r="VL5" s="32">
        <f>MEDIAN(3,3,2,2,2)</f>
        <v>2</v>
      </c>
      <c r="VM5">
        <f t="shared" ref="VM5:VM28" si="124">SUM(VG5,VI5,VJ5,VL5)</f>
        <v>7</v>
      </c>
      <c r="VO5" s="165">
        <v>2</v>
      </c>
      <c r="VP5" s="32">
        <v>2</v>
      </c>
      <c r="VQ5" s="32">
        <f>AVERAGE(3,3,2,2)</f>
        <v>2.5</v>
      </c>
      <c r="VR5" s="32">
        <v>3</v>
      </c>
      <c r="VS5" s="32">
        <v>1</v>
      </c>
      <c r="VT5" s="33">
        <f t="shared" ref="VT5:VT28" si="125">SUM(VP5:VS5)</f>
        <v>8.5</v>
      </c>
      <c r="VU5" s="32">
        <f>MEDIAN(3,3,2,2)</f>
        <v>2.5</v>
      </c>
      <c r="VV5">
        <f t="shared" ref="VV5:VV28" si="126">SUM(VP5,VR5,VS5,VU5)</f>
        <v>8.5</v>
      </c>
    </row>
    <row r="6" spans="2:594" ht="15" thickBot="1" x14ac:dyDescent="0.4">
      <c r="B6" s="165">
        <v>3</v>
      </c>
      <c r="C6" s="32">
        <v>0</v>
      </c>
      <c r="D6" s="32">
        <f>AVERAGE(2,2,2,2,1,2,2,2,2)</f>
        <v>1.8888888888888888</v>
      </c>
      <c r="E6" s="32">
        <v>2</v>
      </c>
      <c r="F6" s="32">
        <v>1</v>
      </c>
      <c r="G6" s="33">
        <f t="shared" si="0"/>
        <v>4.8888888888888893</v>
      </c>
      <c r="H6" s="32">
        <f>MEDIAN(2,2,2,2,1,2,2,2,2)</f>
        <v>2</v>
      </c>
      <c r="I6" s="75">
        <f t="shared" si="1"/>
        <v>5</v>
      </c>
      <c r="K6" s="165">
        <v>3</v>
      </c>
      <c r="L6" s="32">
        <v>2</v>
      </c>
      <c r="M6" s="32">
        <f>AVERAGE(3,3,3,2,2,2,2,2)</f>
        <v>2.375</v>
      </c>
      <c r="N6" s="32">
        <v>2</v>
      </c>
      <c r="O6" s="32">
        <v>2</v>
      </c>
      <c r="P6" s="33">
        <f t="shared" si="2"/>
        <v>8.375</v>
      </c>
      <c r="Q6" s="32">
        <f>MEDIAN(3,3,3,2,2,2,2,2)</f>
        <v>2</v>
      </c>
      <c r="R6" s="75">
        <f t="shared" si="3"/>
        <v>8</v>
      </c>
      <c r="T6" s="165">
        <v>3</v>
      </c>
      <c r="U6" s="32">
        <v>0</v>
      </c>
      <c r="V6" s="32">
        <f>AVERAGE(3,3,2,2,2,3,3,2,3)</f>
        <v>2.5555555555555554</v>
      </c>
      <c r="W6" s="32">
        <v>1</v>
      </c>
      <c r="X6" s="32">
        <v>1</v>
      </c>
      <c r="Y6" s="32">
        <f>MEDIAN(3,3,2,2,2,3,3,2,3)</f>
        <v>3</v>
      </c>
      <c r="Z6" s="18">
        <f t="shared" si="4"/>
        <v>5</v>
      </c>
      <c r="AB6" s="165">
        <v>3</v>
      </c>
      <c r="AC6" s="32">
        <v>3</v>
      </c>
      <c r="AD6" s="32">
        <f>AVERAGE(2,2)</f>
        <v>2</v>
      </c>
      <c r="AE6" s="32">
        <v>3</v>
      </c>
      <c r="AF6" s="32">
        <v>3</v>
      </c>
      <c r="AG6" s="32">
        <f>MEDIAN(2,2)</f>
        <v>2</v>
      </c>
      <c r="AH6" s="18">
        <f t="shared" si="5"/>
        <v>11</v>
      </c>
      <c r="AJ6" s="165">
        <v>3</v>
      </c>
      <c r="AK6" s="32">
        <v>1</v>
      </c>
      <c r="AL6" s="32">
        <f>AVERAGE(3,3,3,2,2,1,2,2,3,2,3,2,3,3)</f>
        <v>2.4285714285714284</v>
      </c>
      <c r="AM6" s="32">
        <v>2</v>
      </c>
      <c r="AN6" s="32">
        <v>3</v>
      </c>
      <c r="AO6" s="33">
        <f t="shared" si="6"/>
        <v>8.4285714285714288</v>
      </c>
      <c r="AP6" s="32">
        <f>MEDIAN(3,3,3,2,2,1,2,2,3,2,3,2,3,3)</f>
        <v>2.5</v>
      </c>
      <c r="AQ6" s="75">
        <f t="shared" si="7"/>
        <v>8.5</v>
      </c>
      <c r="AS6" s="165">
        <v>3</v>
      </c>
      <c r="AT6" s="32">
        <v>1</v>
      </c>
      <c r="AU6" s="32">
        <f>AVERAGE(2,3,3)</f>
        <v>2.6666666666666665</v>
      </c>
      <c r="AV6" s="32">
        <v>1</v>
      </c>
      <c r="AW6" s="32">
        <v>2</v>
      </c>
      <c r="AX6" s="33">
        <f t="shared" si="8"/>
        <v>6.6666666666666661</v>
      </c>
      <c r="AY6" s="32">
        <f>MEDIAN(2,3,3)</f>
        <v>3</v>
      </c>
      <c r="AZ6" s="75">
        <f t="shared" si="9"/>
        <v>7</v>
      </c>
      <c r="BB6" s="165">
        <v>3</v>
      </c>
      <c r="BC6" s="32">
        <v>0</v>
      </c>
      <c r="BD6" s="32">
        <f>MEDIAN(3,3,3,2,2,3,2,3,3,2)</f>
        <v>3</v>
      </c>
      <c r="BE6" s="32">
        <v>1</v>
      </c>
      <c r="BF6" s="32">
        <v>0</v>
      </c>
      <c r="BG6" s="33">
        <f t="shared" si="10"/>
        <v>4</v>
      </c>
      <c r="BH6" s="32">
        <f>MEDIAN(3,3,3,2,2,3,2,3,3,2)</f>
        <v>3</v>
      </c>
      <c r="BI6" s="75">
        <f t="shared" si="11"/>
        <v>4</v>
      </c>
      <c r="BK6" s="165">
        <v>3</v>
      </c>
      <c r="BL6" s="32">
        <v>0</v>
      </c>
      <c r="BM6" s="32">
        <f>MEDIAN(2,3,2,2,2,2,2,2,2,2,2,2)</f>
        <v>2</v>
      </c>
      <c r="BN6" s="32">
        <v>2</v>
      </c>
      <c r="BO6" s="32">
        <v>1</v>
      </c>
      <c r="BP6" s="33">
        <f t="shared" si="12"/>
        <v>5</v>
      </c>
      <c r="BQ6" s="32">
        <f>MEDIAN(2,3,2,2,2,2,2,2,2,2,2,2)</f>
        <v>2</v>
      </c>
      <c r="BR6" s="75">
        <f t="shared" si="13"/>
        <v>5</v>
      </c>
      <c r="BT6" s="165">
        <v>3</v>
      </c>
      <c r="BU6" s="32">
        <v>1</v>
      </c>
      <c r="BV6" s="32">
        <f>MEDIAN(2,2,2,2,1,1)</f>
        <v>2</v>
      </c>
      <c r="BW6" s="32">
        <v>1</v>
      </c>
      <c r="BX6" s="32">
        <v>0</v>
      </c>
      <c r="BY6" s="33">
        <f t="shared" si="14"/>
        <v>4</v>
      </c>
      <c r="CB6" s="165">
        <v>3</v>
      </c>
      <c r="CC6" s="32">
        <v>2</v>
      </c>
      <c r="CD6" s="32">
        <f>MEDIAN(2,2)</f>
        <v>2</v>
      </c>
      <c r="CE6" s="32">
        <v>2</v>
      </c>
      <c r="CF6" s="32">
        <v>1</v>
      </c>
      <c r="CG6" s="33">
        <f t="shared" si="15"/>
        <v>7</v>
      </c>
      <c r="CJ6" s="165">
        <v>3</v>
      </c>
      <c r="CK6" s="32">
        <v>2</v>
      </c>
      <c r="CL6" s="32">
        <f>MEDIAN(3,3,3,3,2,2,3,3,3,3)</f>
        <v>3</v>
      </c>
      <c r="CM6" s="32">
        <v>2</v>
      </c>
      <c r="CN6" s="32">
        <v>3</v>
      </c>
      <c r="CO6" s="33">
        <f t="shared" si="16"/>
        <v>10</v>
      </c>
      <c r="CP6" s="32">
        <f>MEDIAN(3,3,3,3,2,2,3,3,3,3)</f>
        <v>3</v>
      </c>
      <c r="CQ6" s="75">
        <f t="shared" si="17"/>
        <v>10</v>
      </c>
      <c r="CS6" s="165">
        <v>3</v>
      </c>
      <c r="CT6" s="32">
        <v>2</v>
      </c>
      <c r="CU6" s="32">
        <f>MEDIAN(2,2,2,2,2)</f>
        <v>2</v>
      </c>
      <c r="CV6" s="32">
        <v>2</v>
      </c>
      <c r="CW6" s="32">
        <v>2</v>
      </c>
      <c r="CX6" s="33">
        <f t="shared" si="18"/>
        <v>8</v>
      </c>
      <c r="CY6" s="32">
        <f>MEDIAN(2,2,2,2,2)</f>
        <v>2</v>
      </c>
      <c r="CZ6" s="75">
        <f t="shared" si="19"/>
        <v>8</v>
      </c>
      <c r="DB6" s="165">
        <v>3</v>
      </c>
      <c r="DC6" s="32">
        <v>1</v>
      </c>
      <c r="DD6" s="32">
        <f>AVERAGE(3,3,3,3,3,3,3,3,2,2,2,2,3,3)</f>
        <v>2.7142857142857144</v>
      </c>
      <c r="DE6" s="32">
        <v>2</v>
      </c>
      <c r="DF6" s="32">
        <v>1</v>
      </c>
      <c r="DG6" s="33">
        <f t="shared" si="20"/>
        <v>6.7142857142857144</v>
      </c>
      <c r="DH6" s="32">
        <f>MEDIAN(3,3,3,3,3,3,3,3,2,2,2,2,3,3)</f>
        <v>3</v>
      </c>
      <c r="DI6" s="75">
        <f t="shared" si="21"/>
        <v>7</v>
      </c>
      <c r="DK6" s="165">
        <v>3</v>
      </c>
      <c r="DL6" s="32">
        <v>1</v>
      </c>
      <c r="DM6" s="32">
        <f>AVERAGE(1,2,2,2,3,2,3,2,1)</f>
        <v>2</v>
      </c>
      <c r="DN6" s="32">
        <v>2</v>
      </c>
      <c r="DO6" s="32">
        <v>2</v>
      </c>
      <c r="DP6" s="33">
        <f t="shared" si="22"/>
        <v>7</v>
      </c>
      <c r="DQ6" s="32">
        <f>MEDIAN(1,2,2,2,3,2,3,2,1)</f>
        <v>2</v>
      </c>
      <c r="DR6" s="75">
        <f t="shared" si="23"/>
        <v>7</v>
      </c>
      <c r="DT6" s="165">
        <v>3</v>
      </c>
      <c r="DU6" s="32">
        <v>1</v>
      </c>
      <c r="DV6" s="32">
        <f>AVERAGE(2,2,3,2)</f>
        <v>2.25</v>
      </c>
      <c r="DW6" s="32">
        <v>3</v>
      </c>
      <c r="DX6" s="32">
        <v>1</v>
      </c>
      <c r="DY6" s="33">
        <f t="shared" si="24"/>
        <v>7.25</v>
      </c>
      <c r="DZ6" s="32">
        <f>MEDIAN(2,2,3,2)</f>
        <v>2</v>
      </c>
      <c r="EA6" s="75">
        <f t="shared" si="25"/>
        <v>7</v>
      </c>
      <c r="EC6" s="165">
        <v>3</v>
      </c>
      <c r="ED6" s="32">
        <v>1</v>
      </c>
      <c r="EE6" s="32">
        <f>AVERAGE(2,2,2,3,3,3,2,2,2,2,3,3,3,2)</f>
        <v>2.4285714285714284</v>
      </c>
      <c r="EF6" s="32">
        <v>2</v>
      </c>
      <c r="EG6" s="32">
        <v>0</v>
      </c>
      <c r="EH6" s="33">
        <f t="shared" si="26"/>
        <v>5.4285714285714288</v>
      </c>
      <c r="EI6" s="32">
        <f>MEDIAN(2,2,2,3,3,3,2,2,2,2,3,3,3,2)</f>
        <v>2</v>
      </c>
      <c r="EJ6" s="75">
        <f t="shared" si="27"/>
        <v>5</v>
      </c>
      <c r="EL6" s="165">
        <v>3</v>
      </c>
      <c r="EM6" s="32">
        <v>0</v>
      </c>
      <c r="EN6" s="32">
        <f>AVERAGE(1,2,2,2,2,2,2,2,1,2)</f>
        <v>1.8</v>
      </c>
      <c r="EO6" s="32">
        <v>2</v>
      </c>
      <c r="EP6" s="32">
        <v>1</v>
      </c>
      <c r="EQ6" s="33">
        <f t="shared" si="28"/>
        <v>4.8</v>
      </c>
      <c r="ER6" s="197">
        <f>MEDIAN(1,2,2,2,2,2,2,2,1,2)</f>
        <v>2</v>
      </c>
      <c r="ES6">
        <f t="shared" si="29"/>
        <v>5</v>
      </c>
      <c r="EU6" s="165">
        <v>3</v>
      </c>
      <c r="EV6" s="32">
        <v>1</v>
      </c>
      <c r="EW6" s="32">
        <f>AVERAGE(3,2,2,3,2,3,3,3,2,2)</f>
        <v>2.5</v>
      </c>
      <c r="EX6" s="32">
        <v>1</v>
      </c>
      <c r="EY6" s="32">
        <v>0</v>
      </c>
      <c r="EZ6" s="33">
        <f t="shared" si="30"/>
        <v>4.5</v>
      </c>
      <c r="FA6" s="197">
        <f>MEDIAN(3,2,2,3,2,3,3,3,2,2)</f>
        <v>2.5</v>
      </c>
      <c r="FB6">
        <f t="shared" si="31"/>
        <v>4.5</v>
      </c>
      <c r="FD6" s="165">
        <v>3</v>
      </c>
      <c r="FE6" s="32">
        <v>0</v>
      </c>
      <c r="FF6" s="32">
        <f>AVERAGE(3,3,3,3,3,3,3,3,2,2,3)</f>
        <v>2.8181818181818183</v>
      </c>
      <c r="FG6" s="32">
        <v>1</v>
      </c>
      <c r="FH6" s="32">
        <v>0</v>
      </c>
      <c r="FI6" s="33">
        <f t="shared" si="32"/>
        <v>3.8181818181818183</v>
      </c>
      <c r="FJ6" s="197">
        <f>MEDIAN(3,3,3,3,3,3,3,3,2,2,3)</f>
        <v>3</v>
      </c>
      <c r="FK6">
        <f t="shared" si="33"/>
        <v>4</v>
      </c>
      <c r="FM6" s="165">
        <v>3</v>
      </c>
      <c r="FN6" s="32">
        <v>1</v>
      </c>
      <c r="FO6" s="32">
        <f>AVERAGE(3,3,3,2,2)</f>
        <v>2.6</v>
      </c>
      <c r="FP6" s="32">
        <v>2</v>
      </c>
      <c r="FQ6" s="32">
        <v>2</v>
      </c>
      <c r="FR6" s="33">
        <f t="shared" si="34"/>
        <v>7.6</v>
      </c>
      <c r="FS6" s="197">
        <f>MEDIAN(3,3,3,2,2)</f>
        <v>3</v>
      </c>
      <c r="FT6">
        <f t="shared" si="35"/>
        <v>8</v>
      </c>
      <c r="FV6" s="165">
        <v>3</v>
      </c>
      <c r="FW6" s="32">
        <v>1</v>
      </c>
      <c r="FX6" s="32">
        <f>MEDIAN(3,3,3,3,3,3,3,3,3)</f>
        <v>3</v>
      </c>
      <c r="FY6" s="32">
        <v>3</v>
      </c>
      <c r="FZ6" s="32">
        <v>2</v>
      </c>
      <c r="GA6" s="33">
        <f t="shared" si="36"/>
        <v>9</v>
      </c>
      <c r="GB6" s="32">
        <f>MEDIAN(3,3,3,3,3,3,3,3,3)</f>
        <v>3</v>
      </c>
      <c r="GC6">
        <f t="shared" si="37"/>
        <v>9</v>
      </c>
      <c r="GE6" s="165">
        <v>3</v>
      </c>
      <c r="GF6" s="32">
        <v>0</v>
      </c>
      <c r="GG6" s="32">
        <f>MEDIAN(3,3,3,3,3,3,3,3)</f>
        <v>3</v>
      </c>
      <c r="GH6" s="32">
        <v>3</v>
      </c>
      <c r="GI6" s="32">
        <v>1</v>
      </c>
      <c r="GJ6" s="18">
        <f t="shared" si="38"/>
        <v>7</v>
      </c>
      <c r="GK6" s="32">
        <f>MEDIAN(3,3,3,3,3,3,3,3)</f>
        <v>3</v>
      </c>
      <c r="GL6">
        <f t="shared" si="39"/>
        <v>7</v>
      </c>
      <c r="GN6" s="165">
        <v>3</v>
      </c>
      <c r="GO6" s="32">
        <v>1</v>
      </c>
      <c r="GP6" s="32">
        <f>AVERAGE(3,3,2,2,2,3,3)</f>
        <v>2.5714285714285716</v>
      </c>
      <c r="GQ6" s="32">
        <v>1</v>
      </c>
      <c r="GR6" s="32">
        <v>0</v>
      </c>
      <c r="GS6" s="33">
        <f t="shared" si="40"/>
        <v>4.5714285714285712</v>
      </c>
      <c r="GT6" s="196">
        <f>MEDIAN(3,3,2,2,2,3,3)</f>
        <v>3</v>
      </c>
      <c r="GU6" s="32">
        <f t="shared" si="41"/>
        <v>5</v>
      </c>
      <c r="GW6" s="165">
        <v>3</v>
      </c>
      <c r="GX6" s="32">
        <v>1</v>
      </c>
      <c r="GY6" s="32">
        <f>AVERAGE(2,1,3,2)</f>
        <v>2</v>
      </c>
      <c r="GZ6" s="32">
        <v>1</v>
      </c>
      <c r="HA6" s="32">
        <v>0</v>
      </c>
      <c r="HB6" s="33">
        <f t="shared" si="42"/>
        <v>4</v>
      </c>
      <c r="HC6" s="196">
        <f>MEDIAN(2,1,3,2)</f>
        <v>2</v>
      </c>
      <c r="HD6">
        <f t="shared" si="43"/>
        <v>4</v>
      </c>
      <c r="HF6" s="165">
        <v>3</v>
      </c>
      <c r="HG6" s="32">
        <v>0</v>
      </c>
      <c r="HH6" s="32">
        <f>AVERAGE(3,3,3,2,2,3,2,2)</f>
        <v>2.5</v>
      </c>
      <c r="HI6" s="32">
        <v>3</v>
      </c>
      <c r="HJ6" s="32">
        <v>2</v>
      </c>
      <c r="HK6" s="33">
        <f t="shared" si="44"/>
        <v>7.5</v>
      </c>
      <c r="HL6" s="32">
        <f>MEDIAN(3,3,3,2,2,3,2,2)</f>
        <v>2.5</v>
      </c>
      <c r="HM6">
        <f t="shared" si="45"/>
        <v>7.5</v>
      </c>
      <c r="HO6" s="165">
        <v>3</v>
      </c>
      <c r="HP6" s="32">
        <v>1</v>
      </c>
      <c r="HQ6" s="32">
        <f>AVERAGE(3,2,2,3,3,3,3,2,3,3,3,3,3,2,2,2,3,2,3,2,3)</f>
        <v>2.6190476190476191</v>
      </c>
      <c r="HR6" s="32">
        <v>2</v>
      </c>
      <c r="HS6" s="32">
        <v>2</v>
      </c>
      <c r="HT6" s="33">
        <f t="shared" si="46"/>
        <v>7.6190476190476186</v>
      </c>
      <c r="HU6" s="32">
        <f>MEDIAN(3,2,2,3,3,3,3,2,3,3,3,3,3,2,2,2,3,2,3,2,3)</f>
        <v>3</v>
      </c>
      <c r="HV6">
        <f t="shared" si="47"/>
        <v>8</v>
      </c>
      <c r="HX6" s="165">
        <v>3</v>
      </c>
      <c r="HY6" s="32">
        <v>0</v>
      </c>
      <c r="HZ6" s="32">
        <f>MEDIAN(2,2,2,2,0)</f>
        <v>2</v>
      </c>
      <c r="IA6" s="32">
        <v>1</v>
      </c>
      <c r="IB6" s="32">
        <v>0</v>
      </c>
      <c r="IC6" s="33">
        <f t="shared" si="48"/>
        <v>3</v>
      </c>
      <c r="ID6" s="32">
        <f>MEDIAN(2,2,2,2,0)</f>
        <v>2</v>
      </c>
      <c r="IE6">
        <f t="shared" si="49"/>
        <v>3</v>
      </c>
      <c r="IG6" s="165">
        <v>3</v>
      </c>
      <c r="IH6" s="32">
        <v>0</v>
      </c>
      <c r="II6" s="32">
        <f>MEDIAN(3,2,3,2,3,3,2,2,3,2,2,2,2,2)</f>
        <v>2</v>
      </c>
      <c r="IJ6" s="32">
        <v>0</v>
      </c>
      <c r="IK6" s="32">
        <v>1</v>
      </c>
      <c r="IL6" s="33">
        <f t="shared" si="50"/>
        <v>3</v>
      </c>
      <c r="IM6" s="32">
        <f>MEDIAN(3,2,3,2,3,3,2,2,3,2,2,2,2,2)</f>
        <v>2</v>
      </c>
      <c r="IN6">
        <f t="shared" si="51"/>
        <v>3</v>
      </c>
      <c r="IP6" s="165">
        <v>3</v>
      </c>
      <c r="IQ6" s="32">
        <v>0</v>
      </c>
      <c r="IR6" s="32">
        <f>AVERAGE(2,3,3,3,2,3)</f>
        <v>2.6666666666666665</v>
      </c>
      <c r="IS6" s="32">
        <v>2</v>
      </c>
      <c r="IT6" s="32">
        <v>2</v>
      </c>
      <c r="IU6" s="33">
        <f t="shared" si="52"/>
        <v>6.6666666666666661</v>
      </c>
      <c r="IV6" s="32">
        <f>MEDIAN(2,3,3,3,2,3)</f>
        <v>3</v>
      </c>
      <c r="IW6">
        <f t="shared" si="53"/>
        <v>7</v>
      </c>
      <c r="IY6" s="165">
        <v>3</v>
      </c>
      <c r="IZ6" s="32">
        <v>1</v>
      </c>
      <c r="JA6" s="32">
        <f>AVERAGE(3,3)</f>
        <v>3</v>
      </c>
      <c r="JB6" s="32">
        <v>3</v>
      </c>
      <c r="JC6" s="32">
        <v>1</v>
      </c>
      <c r="JD6" s="33">
        <f t="shared" si="54"/>
        <v>8</v>
      </c>
      <c r="JE6" s="32">
        <f>MEDIAN(3,3)</f>
        <v>3</v>
      </c>
      <c r="JF6">
        <f t="shared" si="55"/>
        <v>8</v>
      </c>
      <c r="JH6" s="165">
        <v>3</v>
      </c>
      <c r="JI6" s="32">
        <v>0</v>
      </c>
      <c r="JJ6" s="32">
        <f>MEDIAN(3,3,3,3,3,3,3,3,3,3,3,3,3,3,2,2)</f>
        <v>3</v>
      </c>
      <c r="JK6" s="32">
        <v>3</v>
      </c>
      <c r="JL6" s="32">
        <v>2</v>
      </c>
      <c r="JM6" s="33">
        <f t="shared" si="56"/>
        <v>8</v>
      </c>
      <c r="JN6" s="32">
        <f>MEDIAN(3,3,3,3,3,3,3,3,3,3,3,3,3,3,2,2)</f>
        <v>3</v>
      </c>
      <c r="JO6">
        <f t="shared" si="57"/>
        <v>8</v>
      </c>
      <c r="JQ6" s="165">
        <v>3</v>
      </c>
      <c r="JR6" s="32">
        <v>1</v>
      </c>
      <c r="JS6" s="32">
        <f>MEDIAN(2,3,3)</f>
        <v>3</v>
      </c>
      <c r="JT6" s="32">
        <v>0</v>
      </c>
      <c r="JU6" s="32">
        <v>1</v>
      </c>
      <c r="JV6" s="33">
        <f t="shared" si="58"/>
        <v>5</v>
      </c>
      <c r="JW6" s="32">
        <f>MEDIAN(2,3,3)</f>
        <v>3</v>
      </c>
      <c r="JX6">
        <f t="shared" si="59"/>
        <v>5</v>
      </c>
      <c r="JZ6" s="165">
        <v>3</v>
      </c>
      <c r="KA6" s="32">
        <v>0</v>
      </c>
      <c r="KB6" s="32">
        <f>AVERAGE(3,3)</f>
        <v>3</v>
      </c>
      <c r="KC6" s="32">
        <v>0</v>
      </c>
      <c r="KD6" s="32">
        <v>0</v>
      </c>
      <c r="KE6" s="33">
        <f t="shared" si="60"/>
        <v>3</v>
      </c>
      <c r="KF6" s="32">
        <f>MEDIAN(3,3)</f>
        <v>3</v>
      </c>
      <c r="KG6">
        <f t="shared" si="61"/>
        <v>3</v>
      </c>
      <c r="KI6" s="165">
        <v>3</v>
      </c>
      <c r="KJ6" s="32">
        <v>0</v>
      </c>
      <c r="KK6" s="32">
        <f>AVERAGE(3,3,3,2,3,3)</f>
        <v>2.8333333333333335</v>
      </c>
      <c r="KL6" s="32">
        <v>3</v>
      </c>
      <c r="KM6" s="32">
        <v>1</v>
      </c>
      <c r="KN6" s="33">
        <f t="shared" si="62"/>
        <v>6.8333333333333339</v>
      </c>
      <c r="KO6" s="32">
        <f>MEDIAN(3,3,3,2,3,3)</f>
        <v>3</v>
      </c>
      <c r="KP6">
        <f t="shared" si="63"/>
        <v>7</v>
      </c>
      <c r="KR6" s="165">
        <v>3</v>
      </c>
      <c r="KS6" s="32">
        <v>1</v>
      </c>
      <c r="KT6" s="32">
        <f>AVERAGE(3,2,3,3,3,2,2,2,3,3,2)</f>
        <v>2.5454545454545454</v>
      </c>
      <c r="KU6" s="32">
        <v>2</v>
      </c>
      <c r="KV6" s="32">
        <v>3</v>
      </c>
      <c r="KW6" s="33">
        <f t="shared" si="64"/>
        <v>8.545454545454545</v>
      </c>
      <c r="KX6" s="32">
        <f>MEDIAN(3,2,3,3,3,2,2,2,3,3,2)</f>
        <v>3</v>
      </c>
      <c r="KY6">
        <f t="shared" si="65"/>
        <v>9</v>
      </c>
      <c r="LA6" s="165">
        <v>3</v>
      </c>
      <c r="LB6" s="32">
        <v>2</v>
      </c>
      <c r="LC6" s="32">
        <f>AVERAGE(3,3,3,2)</f>
        <v>2.75</v>
      </c>
      <c r="LD6" s="32">
        <v>3</v>
      </c>
      <c r="LE6" s="32">
        <v>3</v>
      </c>
      <c r="LF6" s="33">
        <f t="shared" si="66"/>
        <v>10.75</v>
      </c>
      <c r="LG6" s="32">
        <f>MEDIAN(3,3,3,2)</f>
        <v>3</v>
      </c>
      <c r="LH6">
        <f t="shared" si="67"/>
        <v>11</v>
      </c>
      <c r="LK6" s="165">
        <v>3</v>
      </c>
      <c r="LL6" s="32">
        <v>0</v>
      </c>
      <c r="LM6" s="32">
        <f>AVERAGE(3,3,3,3,3,3,3,3,3,3)</f>
        <v>3</v>
      </c>
      <c r="LN6" s="32">
        <v>2</v>
      </c>
      <c r="LO6" s="32">
        <v>1</v>
      </c>
      <c r="LP6" s="33">
        <f t="shared" si="68"/>
        <v>6</v>
      </c>
      <c r="LQ6" s="32">
        <f>MEDIAN(3,3,3,3,3,3,3,3,3,3)</f>
        <v>3</v>
      </c>
      <c r="LR6">
        <f t="shared" si="69"/>
        <v>6</v>
      </c>
      <c r="LT6" s="165">
        <v>3</v>
      </c>
      <c r="LU6" s="32">
        <v>1</v>
      </c>
      <c r="LV6" s="32">
        <f>AVERAGE(3,3,3,2,3)</f>
        <v>2.8</v>
      </c>
      <c r="LW6" s="32">
        <v>1</v>
      </c>
      <c r="LX6" s="32">
        <v>0</v>
      </c>
      <c r="LY6" s="33">
        <f t="shared" si="70"/>
        <v>4.8</v>
      </c>
      <c r="LZ6" s="32">
        <f>MEDIAN(3,3,3,2,3)</f>
        <v>3</v>
      </c>
      <c r="MA6">
        <f t="shared" si="71"/>
        <v>5</v>
      </c>
      <c r="MC6" s="165">
        <v>3</v>
      </c>
      <c r="MD6" s="32">
        <v>0</v>
      </c>
      <c r="ME6" s="32">
        <f>AVERAGE(3,3,3,3,2,3,2,3,3,2,3,3,3,2,3,3)</f>
        <v>2.75</v>
      </c>
      <c r="MF6" s="32">
        <v>2</v>
      </c>
      <c r="MG6" s="32">
        <v>1</v>
      </c>
      <c r="MH6" s="33">
        <f t="shared" si="72"/>
        <v>5.75</v>
      </c>
      <c r="MI6" s="32">
        <f>MEDIAN(3,3,3,3,2,3,2,3,3,2,3,3,3,2,3,3)</f>
        <v>3</v>
      </c>
      <c r="MJ6">
        <f t="shared" si="73"/>
        <v>6</v>
      </c>
      <c r="ML6" s="165">
        <v>3</v>
      </c>
      <c r="MM6" s="32">
        <v>1</v>
      </c>
      <c r="MN6" s="32">
        <f>AVERAGE(3,2,3,3,3,2,3,3,3,3,3,2,3,3,3,3,3,3)</f>
        <v>2.8333333333333335</v>
      </c>
      <c r="MO6" s="32">
        <v>2</v>
      </c>
      <c r="MP6" s="32">
        <v>1</v>
      </c>
      <c r="MQ6" s="33">
        <f t="shared" si="74"/>
        <v>6.8333333333333339</v>
      </c>
      <c r="MR6" s="32">
        <f>MEDIAN(3,2,3,3,3,2,3,3,3,3,3,2,3,3,3,3,3,3)</f>
        <v>3</v>
      </c>
      <c r="MS6">
        <f t="shared" si="75"/>
        <v>7</v>
      </c>
      <c r="MU6" s="165">
        <v>3</v>
      </c>
      <c r="MV6" s="32">
        <v>0</v>
      </c>
      <c r="MW6" s="32">
        <f>MEDIAN(2,2,2,2)</f>
        <v>2</v>
      </c>
      <c r="MX6" s="32">
        <v>1</v>
      </c>
      <c r="MY6" s="32">
        <v>0</v>
      </c>
      <c r="MZ6" s="33">
        <f t="shared" si="76"/>
        <v>3</v>
      </c>
      <c r="NA6" s="32">
        <f>MEDIAN(2,2,2,2)</f>
        <v>2</v>
      </c>
      <c r="NB6">
        <f t="shared" si="77"/>
        <v>3</v>
      </c>
      <c r="ND6" s="165">
        <v>3</v>
      </c>
      <c r="NE6" s="32">
        <v>1</v>
      </c>
      <c r="NF6" s="32">
        <f>MEDIAN(2,3,2,3,2,2)</f>
        <v>2</v>
      </c>
      <c r="NG6" s="32">
        <v>1</v>
      </c>
      <c r="NH6" s="32">
        <v>1</v>
      </c>
      <c r="NI6" s="33">
        <f t="shared" si="78"/>
        <v>5</v>
      </c>
      <c r="NJ6" s="32">
        <f>MEDIAN(2,3,2,3,2,2)</f>
        <v>2</v>
      </c>
      <c r="NK6">
        <f t="shared" si="79"/>
        <v>5</v>
      </c>
      <c r="NM6" s="165">
        <v>3</v>
      </c>
      <c r="NN6" s="32">
        <v>1</v>
      </c>
      <c r="NO6" s="32">
        <f>AVERAGE(3,3,2,3,3,3,3,3,3,3,3,3)</f>
        <v>2.9166666666666665</v>
      </c>
      <c r="NP6" s="32">
        <v>2</v>
      </c>
      <c r="NQ6" s="32">
        <v>2</v>
      </c>
      <c r="NR6" s="33">
        <f t="shared" si="80"/>
        <v>7.9166666666666661</v>
      </c>
      <c r="NS6" s="32">
        <f>MEDIAN(3,3,2,3,3,3,3,3,3,3,3,3)</f>
        <v>3</v>
      </c>
      <c r="NT6">
        <f t="shared" si="81"/>
        <v>8</v>
      </c>
      <c r="NV6" s="165">
        <v>3</v>
      </c>
      <c r="NW6" s="32">
        <v>1</v>
      </c>
      <c r="NX6" s="32">
        <f>AVERAGE(3,3,3,3,3,3,3,3,3,3,3,3,2,3,3,3,3,3,3)</f>
        <v>2.9473684210526314</v>
      </c>
      <c r="NY6" s="32">
        <v>3</v>
      </c>
      <c r="NZ6" s="32">
        <v>2</v>
      </c>
      <c r="OA6" s="33">
        <f t="shared" si="82"/>
        <v>8.9473684210526319</v>
      </c>
      <c r="OB6" s="32">
        <f>MEDIAN(3,3,3,3,3,3,3,3,3,3,3,3,2,3,3,3,3,3,3)</f>
        <v>3</v>
      </c>
      <c r="OC6">
        <f t="shared" si="83"/>
        <v>9</v>
      </c>
      <c r="OE6" s="165">
        <v>3</v>
      </c>
      <c r="OF6" s="32">
        <v>2</v>
      </c>
      <c r="OG6" s="32">
        <f>MEDIAN(2,3,3,3,3,3)</f>
        <v>3</v>
      </c>
      <c r="OH6" s="32">
        <v>3</v>
      </c>
      <c r="OI6" s="32">
        <v>1</v>
      </c>
      <c r="OJ6" s="33">
        <f t="shared" si="84"/>
        <v>9</v>
      </c>
      <c r="OK6" s="32">
        <f>MEDIAN(2,3,3,3,3,3)</f>
        <v>3</v>
      </c>
      <c r="OL6">
        <f t="shared" si="85"/>
        <v>9</v>
      </c>
      <c r="ON6" s="165">
        <v>3</v>
      </c>
      <c r="OO6" s="32">
        <v>1</v>
      </c>
      <c r="OP6" s="32">
        <f>MEDIAN(3,3,2,3)</f>
        <v>3</v>
      </c>
      <c r="OQ6" s="32">
        <v>1</v>
      </c>
      <c r="OR6" s="32">
        <v>0</v>
      </c>
      <c r="OS6" s="33">
        <f t="shared" si="86"/>
        <v>5</v>
      </c>
      <c r="OT6" s="32">
        <f>MEDIAN(3,3,2,3)</f>
        <v>3</v>
      </c>
      <c r="OU6">
        <f t="shared" si="87"/>
        <v>5</v>
      </c>
      <c r="OW6" s="165">
        <v>3</v>
      </c>
      <c r="OX6" s="32">
        <v>0</v>
      </c>
      <c r="OY6" s="32">
        <f>AVERAGE(2,3,3,2)</f>
        <v>2.5</v>
      </c>
      <c r="OZ6" s="32">
        <v>1</v>
      </c>
      <c r="PA6" s="32">
        <v>1</v>
      </c>
      <c r="PB6" s="33">
        <f t="shared" si="88"/>
        <v>4.5</v>
      </c>
      <c r="PC6" s="32">
        <f>MEDIAN(2,3,3,2)</f>
        <v>2.5</v>
      </c>
      <c r="PD6">
        <f t="shared" si="89"/>
        <v>4.5</v>
      </c>
      <c r="PF6" s="165">
        <v>3</v>
      </c>
      <c r="PG6" s="32">
        <v>1</v>
      </c>
      <c r="PH6" s="32">
        <f>AVERAGE(3,3,3,3,3,2,2)</f>
        <v>2.7142857142857144</v>
      </c>
      <c r="PI6" s="32">
        <v>1</v>
      </c>
      <c r="PJ6" s="32">
        <v>1</v>
      </c>
      <c r="PK6" s="33">
        <f t="shared" si="90"/>
        <v>5.7142857142857144</v>
      </c>
      <c r="PL6" s="32">
        <f>MEDIAN(3,3,3,3,3,2,2)</f>
        <v>3</v>
      </c>
      <c r="PM6">
        <f t="shared" si="91"/>
        <v>6</v>
      </c>
      <c r="PO6" s="165">
        <v>3</v>
      </c>
      <c r="PP6" s="32">
        <v>0</v>
      </c>
      <c r="PQ6" s="32">
        <f>MEDIAN(3,3,3,2,3,3,3,3,2,2,3,3,2,3)</f>
        <v>3</v>
      </c>
      <c r="PR6" s="32">
        <v>1</v>
      </c>
      <c r="PS6" s="32">
        <v>0</v>
      </c>
      <c r="PT6" s="33">
        <f t="shared" si="92"/>
        <v>4</v>
      </c>
      <c r="PV6" s="165">
        <v>3</v>
      </c>
      <c r="PW6" s="32">
        <v>2</v>
      </c>
      <c r="PX6" s="32">
        <f>MEDIAN(2,3,3)</f>
        <v>3</v>
      </c>
      <c r="PY6" s="32">
        <v>3</v>
      </c>
      <c r="PZ6" s="32">
        <v>1</v>
      </c>
      <c r="QA6" s="33">
        <f t="shared" si="93"/>
        <v>9</v>
      </c>
      <c r="QB6" s="32">
        <f>MEDIAN(2,3,3)</f>
        <v>3</v>
      </c>
      <c r="QC6">
        <f t="shared" si="94"/>
        <v>9</v>
      </c>
      <c r="QE6" s="165">
        <v>3</v>
      </c>
      <c r="QF6" s="32">
        <v>0</v>
      </c>
      <c r="QG6" s="32">
        <f>MEDIAN(3,3,3,3,3,3,3,3,3,2,2,2,3)</f>
        <v>3</v>
      </c>
      <c r="QH6" s="32">
        <v>0</v>
      </c>
      <c r="QI6" s="32">
        <v>0</v>
      </c>
      <c r="QJ6" s="33">
        <f t="shared" si="95"/>
        <v>3</v>
      </c>
      <c r="QK6" s="32">
        <f>MEDIAN(3,3,3,3,3,3,3,3,3,2,2,2,3)</f>
        <v>3</v>
      </c>
      <c r="QL6">
        <f t="shared" si="96"/>
        <v>3</v>
      </c>
      <c r="QN6" s="165">
        <v>3</v>
      </c>
      <c r="QO6" s="32">
        <v>1</v>
      </c>
      <c r="QP6" s="32">
        <f>MEDIAN(3,3,3,3,2,3,3,3,3,3,2,2,3,3,3)</f>
        <v>3</v>
      </c>
      <c r="QQ6" s="32">
        <v>2</v>
      </c>
      <c r="QR6" s="32">
        <v>3</v>
      </c>
      <c r="QS6" s="33">
        <f t="shared" si="97"/>
        <v>9</v>
      </c>
      <c r="QT6" s="32">
        <f>MEDIAN(3,3,3,3,2,3,3,3,3,3,2,2,3,3,3)</f>
        <v>3</v>
      </c>
      <c r="QU6">
        <f t="shared" si="98"/>
        <v>9</v>
      </c>
      <c r="QW6" s="165">
        <v>3</v>
      </c>
      <c r="QX6" s="32">
        <v>1</v>
      </c>
      <c r="QY6" s="32">
        <f>AVERAGE(3,3,3,3,2,3,3,3,3,3,3,2)</f>
        <v>2.8333333333333335</v>
      </c>
      <c r="QZ6" s="32">
        <v>3</v>
      </c>
      <c r="RA6" s="32">
        <v>2</v>
      </c>
      <c r="RB6" s="33">
        <f t="shared" si="99"/>
        <v>8.8333333333333339</v>
      </c>
      <c r="RC6" s="32">
        <f>MEDIAN(3,3,3,3,2,3,3,3,3,3,3,2)</f>
        <v>3</v>
      </c>
      <c r="RD6">
        <f t="shared" si="100"/>
        <v>9</v>
      </c>
      <c r="RF6" s="165">
        <v>3</v>
      </c>
      <c r="RG6" s="32">
        <v>2</v>
      </c>
      <c r="RH6" s="32">
        <f>AVERAGE(2,3,3,3,2,3,3,2)</f>
        <v>2.625</v>
      </c>
      <c r="RI6" s="32">
        <v>3</v>
      </c>
      <c r="RJ6" s="32">
        <v>1</v>
      </c>
      <c r="RK6" s="33">
        <f t="shared" si="101"/>
        <v>8.625</v>
      </c>
      <c r="RL6" s="32">
        <f>MEDIAN(2,3,3,3,2,3,3,2)</f>
        <v>3</v>
      </c>
      <c r="RM6">
        <f t="shared" si="102"/>
        <v>9</v>
      </c>
      <c r="RO6" s="165">
        <v>3</v>
      </c>
      <c r="RP6" s="32">
        <v>1</v>
      </c>
      <c r="RQ6" s="32">
        <f>AVERAGE(3,2,2,3,3,2,3,3)</f>
        <v>2.625</v>
      </c>
      <c r="RR6" s="32">
        <v>0</v>
      </c>
      <c r="RS6" s="32">
        <v>0</v>
      </c>
      <c r="RT6" s="33">
        <f t="shared" si="103"/>
        <v>3.625</v>
      </c>
      <c r="RU6" s="32">
        <f>MEDIAN(3,2,2,3,3,2,3,3)</f>
        <v>3</v>
      </c>
      <c r="RV6">
        <f t="shared" si="104"/>
        <v>4</v>
      </c>
      <c r="RX6" s="165">
        <v>3</v>
      </c>
      <c r="RY6" s="32">
        <v>0</v>
      </c>
      <c r="RZ6" s="32">
        <f>AVERAGE(2,3,2,3,2,3,2,2,3,3,2)</f>
        <v>2.4545454545454546</v>
      </c>
      <c r="SA6" s="32">
        <v>2</v>
      </c>
      <c r="SB6" s="32">
        <v>0</v>
      </c>
      <c r="SC6" s="33">
        <f t="shared" si="105"/>
        <v>4.454545454545455</v>
      </c>
      <c r="SD6" s="32">
        <f>MEDIAN(2,3,2,3,2,3,2,2,3,3,2)</f>
        <v>2</v>
      </c>
      <c r="SE6">
        <f t="shared" si="106"/>
        <v>4</v>
      </c>
      <c r="SG6" s="165">
        <v>3</v>
      </c>
      <c r="SH6" s="32">
        <v>2</v>
      </c>
      <c r="SI6" s="32">
        <f>MEDIAN(3,2,2,2)</f>
        <v>2</v>
      </c>
      <c r="SJ6" s="32">
        <v>3</v>
      </c>
      <c r="SK6" s="32">
        <v>2</v>
      </c>
      <c r="SL6" s="33">
        <f t="shared" si="107"/>
        <v>9</v>
      </c>
      <c r="SM6" s="32">
        <f>MEDIAN(3,2,2,2)</f>
        <v>2</v>
      </c>
      <c r="SN6">
        <f t="shared" si="108"/>
        <v>9</v>
      </c>
      <c r="SP6" s="165">
        <v>3</v>
      </c>
      <c r="SQ6" s="32">
        <v>1</v>
      </c>
      <c r="SR6" s="32">
        <f>MEDIAN(3,2,3,3,3,3,2,3)</f>
        <v>3</v>
      </c>
      <c r="SS6" s="32">
        <v>3</v>
      </c>
      <c r="ST6" s="32">
        <v>1</v>
      </c>
      <c r="SU6" s="33">
        <f t="shared" si="109"/>
        <v>8</v>
      </c>
      <c r="SV6" s="32">
        <f>MEDIAN(3,2,3,3,3,3,2,3)</f>
        <v>3</v>
      </c>
      <c r="SW6">
        <f t="shared" si="110"/>
        <v>8</v>
      </c>
      <c r="SY6" s="165">
        <v>3</v>
      </c>
      <c r="SZ6" s="32">
        <v>0</v>
      </c>
      <c r="TA6" s="32">
        <f>AVERAGE(3,3,3)</f>
        <v>3</v>
      </c>
      <c r="TB6" s="32">
        <v>1</v>
      </c>
      <c r="TC6" s="32">
        <v>1</v>
      </c>
      <c r="TD6" s="33">
        <f t="shared" si="111"/>
        <v>5</v>
      </c>
      <c r="TE6" s="32">
        <f>MEDIAN(3,3,3)</f>
        <v>3</v>
      </c>
      <c r="TF6">
        <f t="shared" si="112"/>
        <v>5</v>
      </c>
      <c r="TH6" s="165">
        <v>3</v>
      </c>
      <c r="TI6" s="32">
        <v>2</v>
      </c>
      <c r="TJ6" s="32">
        <f>MEDIAN(3,3,2)</f>
        <v>3</v>
      </c>
      <c r="TK6" s="32">
        <v>3</v>
      </c>
      <c r="TL6" s="32">
        <v>3</v>
      </c>
      <c r="TM6" s="33">
        <f t="shared" si="113"/>
        <v>11</v>
      </c>
      <c r="TN6" s="32">
        <f>MEDIAN(3,3,2)</f>
        <v>3</v>
      </c>
      <c r="TO6">
        <f t="shared" si="114"/>
        <v>11</v>
      </c>
      <c r="TQ6" s="165">
        <v>3</v>
      </c>
      <c r="TR6" s="32">
        <v>2</v>
      </c>
      <c r="TS6" s="32">
        <f>MEDIAN(2,1,3,3,3,3,3,3,3,3,2,3,2,3,2,3)</f>
        <v>3</v>
      </c>
      <c r="TT6" s="32">
        <v>3</v>
      </c>
      <c r="TU6" s="32">
        <v>3</v>
      </c>
      <c r="TV6" s="33">
        <f t="shared" si="115"/>
        <v>11</v>
      </c>
      <c r="TX6" s="165">
        <v>3</v>
      </c>
      <c r="TY6" s="32">
        <v>2</v>
      </c>
      <c r="TZ6" s="32">
        <f>MEDIAN(2,2,3,3,2,2)</f>
        <v>2</v>
      </c>
      <c r="UA6" s="32">
        <v>2</v>
      </c>
      <c r="UB6" s="32">
        <v>1</v>
      </c>
      <c r="UC6" s="33">
        <f t="shared" si="116"/>
        <v>7</v>
      </c>
      <c r="UD6" s="32">
        <f>MEDIAN(2,2,3,3,2,2)</f>
        <v>2</v>
      </c>
      <c r="UE6">
        <f t="shared" si="117"/>
        <v>7</v>
      </c>
      <c r="UG6" s="165">
        <v>3</v>
      </c>
      <c r="UH6" s="32">
        <v>1</v>
      </c>
      <c r="UI6" s="32">
        <f>MEDIAN(3,3,3,3,3)</f>
        <v>3</v>
      </c>
      <c r="UJ6" s="32">
        <v>2</v>
      </c>
      <c r="UK6" s="32">
        <v>2</v>
      </c>
      <c r="UL6" s="33">
        <f t="shared" si="118"/>
        <v>8</v>
      </c>
      <c r="UN6" s="165">
        <v>3</v>
      </c>
      <c r="UO6" s="32">
        <v>0</v>
      </c>
      <c r="UP6" s="32">
        <f>AVERAGE(1,2,2,2,3)</f>
        <v>2</v>
      </c>
      <c r="UQ6" s="32">
        <v>3</v>
      </c>
      <c r="UR6" s="32">
        <v>1</v>
      </c>
      <c r="US6" s="33">
        <f t="shared" si="119"/>
        <v>6</v>
      </c>
      <c r="UT6" s="32">
        <f>MEDIAN(1,2,2,2,3)</f>
        <v>2</v>
      </c>
      <c r="UU6">
        <f t="shared" si="120"/>
        <v>6</v>
      </c>
      <c r="UW6" s="165">
        <v>3</v>
      </c>
      <c r="UX6" s="32">
        <v>1</v>
      </c>
      <c r="UY6" s="32">
        <f>AVERAGE(2,3,3,2,3,3,3,3,3)</f>
        <v>2.7777777777777777</v>
      </c>
      <c r="UZ6" s="32">
        <v>1</v>
      </c>
      <c r="VA6" s="32">
        <v>0</v>
      </c>
      <c r="VB6" s="33">
        <f t="shared" si="121"/>
        <v>4.7777777777777777</v>
      </c>
      <c r="VC6" s="32">
        <f>MEDIAN(2,3,3,2,3,3,3,3,3)</f>
        <v>3</v>
      </c>
      <c r="VD6">
        <f t="shared" si="122"/>
        <v>5</v>
      </c>
      <c r="VF6" s="165">
        <v>3</v>
      </c>
      <c r="VG6" s="32">
        <v>1</v>
      </c>
      <c r="VH6" s="32">
        <f>AVERAGE(3,3)</f>
        <v>3</v>
      </c>
      <c r="VI6" s="32">
        <v>3</v>
      </c>
      <c r="VJ6" s="32">
        <v>2</v>
      </c>
      <c r="VK6" s="33">
        <f t="shared" si="123"/>
        <v>9</v>
      </c>
      <c r="VL6" s="32">
        <f>MEDIAN(3,3)</f>
        <v>3</v>
      </c>
      <c r="VM6">
        <f t="shared" si="124"/>
        <v>9</v>
      </c>
      <c r="VO6" s="165">
        <v>3</v>
      </c>
      <c r="VP6" s="32">
        <v>2</v>
      </c>
      <c r="VQ6" s="32">
        <f>AVERAGE(3,3,3,3,2,2,2,3)</f>
        <v>2.625</v>
      </c>
      <c r="VR6" s="32">
        <v>3</v>
      </c>
      <c r="VS6" s="32">
        <v>2</v>
      </c>
      <c r="VT6" s="33">
        <f t="shared" si="125"/>
        <v>9.625</v>
      </c>
      <c r="VU6" s="32">
        <f>MEDIAN(3,3,3,3,2,2,2,3)</f>
        <v>3</v>
      </c>
      <c r="VV6">
        <f t="shared" si="126"/>
        <v>10</v>
      </c>
    </row>
    <row r="7" spans="2:594" ht="15" thickBot="1" x14ac:dyDescent="0.4">
      <c r="B7" s="165">
        <v>4</v>
      </c>
      <c r="C7" s="32">
        <v>1</v>
      </c>
      <c r="D7" s="32">
        <f>AVERAGE(3,2,2,3,2,2,3,2,2,2,1,1)</f>
        <v>2.0833333333333335</v>
      </c>
      <c r="E7" s="32">
        <v>2</v>
      </c>
      <c r="F7" s="32">
        <v>1</v>
      </c>
      <c r="G7" s="33">
        <f t="shared" si="0"/>
        <v>6.0833333333333339</v>
      </c>
      <c r="H7" s="32">
        <f>MEDIAN(3,2,2,3,2,2,3,2,2,2,1,1)</f>
        <v>2</v>
      </c>
      <c r="I7" s="75">
        <f t="shared" si="1"/>
        <v>6</v>
      </c>
      <c r="K7" s="165">
        <v>4</v>
      </c>
      <c r="L7" s="32">
        <v>1</v>
      </c>
      <c r="M7" s="32">
        <f>AVERAGE(3,2,3,2,2)</f>
        <v>2.4</v>
      </c>
      <c r="N7" s="32">
        <v>1</v>
      </c>
      <c r="O7" s="32">
        <v>1</v>
      </c>
      <c r="P7" s="33">
        <f t="shared" si="2"/>
        <v>5.4</v>
      </c>
      <c r="Q7" s="32">
        <f>MEDIAN(3,2,3,2,2)</f>
        <v>2</v>
      </c>
      <c r="R7" s="75">
        <f t="shared" si="3"/>
        <v>5</v>
      </c>
      <c r="T7" s="165">
        <v>4</v>
      </c>
      <c r="U7" s="32">
        <v>1</v>
      </c>
      <c r="V7" s="32">
        <f>AVERAGE(3,3,3,3,2,3)</f>
        <v>2.8333333333333335</v>
      </c>
      <c r="W7" s="32">
        <v>3</v>
      </c>
      <c r="X7" s="32">
        <v>1</v>
      </c>
      <c r="Y7" s="32">
        <f>MEDIAN(3,3,3,3,2,3)</f>
        <v>3</v>
      </c>
      <c r="Z7" s="18">
        <f t="shared" si="4"/>
        <v>8</v>
      </c>
      <c r="AB7" s="165">
        <v>4</v>
      </c>
      <c r="AC7" s="32">
        <v>1</v>
      </c>
      <c r="AD7" s="32">
        <f>AVERAGE(2,2,3)</f>
        <v>2.3333333333333335</v>
      </c>
      <c r="AE7" s="32">
        <v>3</v>
      </c>
      <c r="AF7" s="32">
        <v>2</v>
      </c>
      <c r="AG7" s="32">
        <f>MEDIAN(2,2,3)</f>
        <v>2</v>
      </c>
      <c r="AH7" s="18">
        <f t="shared" si="5"/>
        <v>8</v>
      </c>
      <c r="AJ7" s="165">
        <v>4</v>
      </c>
      <c r="AK7" s="32">
        <v>2</v>
      </c>
      <c r="AL7" s="32">
        <f>AVERAGE(3,3,3,3,3,3,3)</f>
        <v>3</v>
      </c>
      <c r="AM7" s="32">
        <v>3</v>
      </c>
      <c r="AN7" s="32">
        <v>2</v>
      </c>
      <c r="AO7" s="33">
        <f t="shared" si="6"/>
        <v>10</v>
      </c>
      <c r="AP7" s="32">
        <f>MEDIAN(3,3,3,3,3,3,3)</f>
        <v>3</v>
      </c>
      <c r="AQ7" s="75">
        <f t="shared" si="7"/>
        <v>10</v>
      </c>
      <c r="AS7" s="165">
        <v>4</v>
      </c>
      <c r="AT7" s="32">
        <v>0</v>
      </c>
      <c r="AU7" s="32">
        <f>AVERAGE(2,2,2)</f>
        <v>2</v>
      </c>
      <c r="AV7" s="32">
        <v>1</v>
      </c>
      <c r="AW7" s="32">
        <v>1</v>
      </c>
      <c r="AX7" s="33">
        <f t="shared" si="8"/>
        <v>4</v>
      </c>
      <c r="AY7" s="32">
        <f>MEDIAN(2,2,2)</f>
        <v>2</v>
      </c>
      <c r="AZ7" s="75">
        <f t="shared" si="9"/>
        <v>4</v>
      </c>
      <c r="BB7" s="165">
        <v>4</v>
      </c>
      <c r="BC7" s="32">
        <v>0</v>
      </c>
      <c r="BD7" s="32">
        <f>MEDIAN(2,2,2,2,3,2)</f>
        <v>2</v>
      </c>
      <c r="BE7" s="32">
        <v>1</v>
      </c>
      <c r="BF7" s="32">
        <v>1</v>
      </c>
      <c r="BG7" s="33">
        <f t="shared" si="10"/>
        <v>4</v>
      </c>
      <c r="BH7" s="32">
        <f>MEDIAN(2,2,2,2,3,2)</f>
        <v>2</v>
      </c>
      <c r="BI7" s="75">
        <f t="shared" si="11"/>
        <v>4</v>
      </c>
      <c r="BK7" s="165">
        <v>4</v>
      </c>
      <c r="BL7" s="32">
        <v>0</v>
      </c>
      <c r="BM7" s="32">
        <f>MEDIAN(2,2,2,2,2,2,2,2)</f>
        <v>2</v>
      </c>
      <c r="BN7" s="32">
        <v>2</v>
      </c>
      <c r="BO7" s="32">
        <v>1</v>
      </c>
      <c r="BP7" s="33">
        <f t="shared" si="12"/>
        <v>5</v>
      </c>
      <c r="BQ7" s="32">
        <f>MEDIAN(2,2,2,2,2,2,2,2)</f>
        <v>2</v>
      </c>
      <c r="BR7" s="75">
        <f t="shared" si="13"/>
        <v>5</v>
      </c>
      <c r="BT7" s="165">
        <v>4</v>
      </c>
      <c r="BU7" s="32">
        <v>0</v>
      </c>
      <c r="BV7" s="32">
        <f>MEDIAN(2,2,1,1,2,2)</f>
        <v>2</v>
      </c>
      <c r="BW7" s="32">
        <v>1</v>
      </c>
      <c r="BX7" s="32">
        <v>1</v>
      </c>
      <c r="BY7" s="33">
        <f t="shared" si="14"/>
        <v>4</v>
      </c>
      <c r="CB7" s="165">
        <v>4</v>
      </c>
      <c r="CC7" s="32">
        <v>1</v>
      </c>
      <c r="CD7" s="32">
        <f>MEDIAN(2,2,2,2,2,2,3,2,2,2,2)</f>
        <v>2</v>
      </c>
      <c r="CE7" s="32">
        <v>1</v>
      </c>
      <c r="CF7" s="32">
        <v>0</v>
      </c>
      <c r="CG7" s="33">
        <f t="shared" si="15"/>
        <v>4</v>
      </c>
      <c r="CJ7" s="165">
        <v>4</v>
      </c>
      <c r="CK7" s="32">
        <v>0</v>
      </c>
      <c r="CL7" s="32">
        <f>MEDIAN(2,2,2,2,2,2,2,1,2,2)</f>
        <v>2</v>
      </c>
      <c r="CM7" s="32">
        <v>0</v>
      </c>
      <c r="CN7" s="32">
        <v>0</v>
      </c>
      <c r="CO7" s="33">
        <f t="shared" si="16"/>
        <v>2</v>
      </c>
      <c r="CP7" s="32">
        <f>MEDIAN(2,2,2,2,2,2,2,1,2,2)</f>
        <v>2</v>
      </c>
      <c r="CQ7" s="75">
        <f t="shared" si="17"/>
        <v>2</v>
      </c>
      <c r="CS7" s="165">
        <v>4</v>
      </c>
      <c r="CT7" s="32">
        <v>2</v>
      </c>
      <c r="CU7" s="32">
        <f>MEDIAN(2,2,2,2)</f>
        <v>2</v>
      </c>
      <c r="CV7" s="32">
        <v>2</v>
      </c>
      <c r="CW7" s="32">
        <v>2</v>
      </c>
      <c r="CX7" s="33">
        <f t="shared" si="18"/>
        <v>8</v>
      </c>
      <c r="CY7" s="32">
        <f>MEDIAN(2,2,2,2)</f>
        <v>2</v>
      </c>
      <c r="CZ7" s="75">
        <f t="shared" si="19"/>
        <v>8</v>
      </c>
      <c r="DB7" s="165">
        <v>4</v>
      </c>
      <c r="DC7" s="32">
        <v>1</v>
      </c>
      <c r="DD7" s="32">
        <f>AVERAGE(3,3,2)</f>
        <v>2.6666666666666665</v>
      </c>
      <c r="DE7" s="32">
        <v>2</v>
      </c>
      <c r="DF7" s="32">
        <v>1</v>
      </c>
      <c r="DG7" s="33">
        <f t="shared" si="20"/>
        <v>6.6666666666666661</v>
      </c>
      <c r="DH7" s="32">
        <f>MEDIAN(3,3,2)</f>
        <v>3</v>
      </c>
      <c r="DI7" s="75">
        <f t="shared" si="21"/>
        <v>7</v>
      </c>
      <c r="DK7" s="165">
        <v>4</v>
      </c>
      <c r="DL7" s="32">
        <v>1</v>
      </c>
      <c r="DM7" s="32">
        <f>AVERAGE(2,3,3,3,3,3,2,2,3,3,3,3,3,2,2,2)</f>
        <v>2.625</v>
      </c>
      <c r="DN7" s="32">
        <v>2</v>
      </c>
      <c r="DO7" s="32">
        <v>1</v>
      </c>
      <c r="DP7" s="33">
        <f t="shared" si="22"/>
        <v>6.625</v>
      </c>
      <c r="DQ7" s="32">
        <f>MEDIAN(2,3,3,3,3,3,2,2,3,3,3,3,3,2,2,2)</f>
        <v>3</v>
      </c>
      <c r="DR7" s="75">
        <f t="shared" si="23"/>
        <v>7</v>
      </c>
      <c r="DT7" s="165">
        <v>4</v>
      </c>
      <c r="DU7" s="32">
        <v>1</v>
      </c>
      <c r="DV7" s="32">
        <f>AVERAGE(3,3,3,2,2,2,2)</f>
        <v>2.4285714285714284</v>
      </c>
      <c r="DW7" s="32">
        <v>3</v>
      </c>
      <c r="DX7" s="32">
        <v>1</v>
      </c>
      <c r="DY7" s="33">
        <f t="shared" si="24"/>
        <v>7.4285714285714288</v>
      </c>
      <c r="DZ7" s="32">
        <f>MEDIAN(3,3,3,2,2,2,2)</f>
        <v>2</v>
      </c>
      <c r="EA7" s="75">
        <f t="shared" si="25"/>
        <v>7</v>
      </c>
      <c r="EC7" s="165">
        <v>4</v>
      </c>
      <c r="ED7" s="32">
        <v>1</v>
      </c>
      <c r="EE7" s="32">
        <f>AVERAGE(3,3,3,3,3,3,2,3)</f>
        <v>2.875</v>
      </c>
      <c r="EF7" s="32">
        <v>2</v>
      </c>
      <c r="EG7" s="32">
        <v>1</v>
      </c>
      <c r="EH7" s="33">
        <f t="shared" si="26"/>
        <v>6.875</v>
      </c>
      <c r="EI7" s="32">
        <f>MEDIAN(3,3,3,3,3,3,2,3)</f>
        <v>3</v>
      </c>
      <c r="EJ7" s="75">
        <f t="shared" si="27"/>
        <v>7</v>
      </c>
      <c r="EL7" s="165">
        <v>4</v>
      </c>
      <c r="EM7" s="32">
        <v>0</v>
      </c>
      <c r="EN7" s="32">
        <f>AVERAGE(2,2,1,2,2,2,2,2,1)</f>
        <v>1.7777777777777777</v>
      </c>
      <c r="EO7" s="32">
        <v>3</v>
      </c>
      <c r="EP7" s="32">
        <v>1</v>
      </c>
      <c r="EQ7" s="33">
        <f t="shared" si="28"/>
        <v>5.7777777777777777</v>
      </c>
      <c r="ER7" s="197">
        <f>MEDIAN(2,2,1,2,2,2,2,2,1)</f>
        <v>2</v>
      </c>
      <c r="ES7">
        <f t="shared" si="29"/>
        <v>6</v>
      </c>
      <c r="EU7" s="165">
        <v>4</v>
      </c>
      <c r="EV7" s="32">
        <v>1</v>
      </c>
      <c r="EW7" s="32">
        <f>AVERAGE(3,2,2,2,2,1,2,2,2,2,2,2,2)</f>
        <v>2</v>
      </c>
      <c r="EX7" s="32">
        <v>0</v>
      </c>
      <c r="EY7" s="32">
        <v>0</v>
      </c>
      <c r="EZ7" s="33">
        <f t="shared" si="30"/>
        <v>3</v>
      </c>
      <c r="FA7" s="197">
        <f>MEDIAN(3,2,2,2,2,1,2,2,2,2,2,2,2)</f>
        <v>2</v>
      </c>
      <c r="FB7">
        <f t="shared" si="31"/>
        <v>3</v>
      </c>
      <c r="FD7" s="165">
        <v>4</v>
      </c>
      <c r="FE7" s="32">
        <v>0</v>
      </c>
      <c r="FF7" s="32">
        <f>AVERAGE(3,3,3,2,3,2)</f>
        <v>2.6666666666666665</v>
      </c>
      <c r="FG7" s="32">
        <v>1</v>
      </c>
      <c r="FH7" s="32">
        <v>0</v>
      </c>
      <c r="FI7" s="33">
        <f t="shared" si="32"/>
        <v>3.6666666666666665</v>
      </c>
      <c r="FJ7" s="197">
        <f>MEDIAN(3,3,3,2,3,2)</f>
        <v>3</v>
      </c>
      <c r="FK7">
        <f t="shared" si="33"/>
        <v>4</v>
      </c>
      <c r="FM7" s="165">
        <v>4</v>
      </c>
      <c r="FN7" s="32">
        <v>1</v>
      </c>
      <c r="FO7" s="32">
        <f>AVERAGE(3,2,2,3)</f>
        <v>2.5</v>
      </c>
      <c r="FP7" s="32">
        <v>3</v>
      </c>
      <c r="FQ7" s="32">
        <v>1</v>
      </c>
      <c r="FR7" s="33">
        <f t="shared" si="34"/>
        <v>7.5</v>
      </c>
      <c r="FS7" s="197">
        <f>MEDIAN(3,2,2,3)</f>
        <v>2.5</v>
      </c>
      <c r="FT7">
        <f t="shared" si="35"/>
        <v>7.5</v>
      </c>
      <c r="FV7" s="165">
        <v>4</v>
      </c>
      <c r="FW7" s="32">
        <v>2</v>
      </c>
      <c r="FX7" s="32">
        <f>MEDIAN(2,2,3,3,3,2,3,3,3,3,2,3,3,3)</f>
        <v>3</v>
      </c>
      <c r="FY7" s="32">
        <v>3</v>
      </c>
      <c r="FZ7" s="32">
        <v>1</v>
      </c>
      <c r="GA7" s="33">
        <f t="shared" si="36"/>
        <v>9</v>
      </c>
      <c r="GB7" s="32">
        <f>MEDIAN(2,2,3,3,3,2,3,3,3,3,2,3,3,3)</f>
        <v>3</v>
      </c>
      <c r="GC7">
        <f t="shared" si="37"/>
        <v>9</v>
      </c>
      <c r="GE7" s="165">
        <v>4</v>
      </c>
      <c r="GF7" s="32">
        <v>1</v>
      </c>
      <c r="GG7" s="32">
        <f>MEDIAN(3,3,2,3,2,2,3,3,3,3,3,3,3,3,3,3)</f>
        <v>3</v>
      </c>
      <c r="GH7" s="32">
        <v>3</v>
      </c>
      <c r="GI7" s="32">
        <v>1</v>
      </c>
      <c r="GJ7" s="18">
        <f t="shared" si="38"/>
        <v>8</v>
      </c>
      <c r="GK7" s="32">
        <f>MEDIAN(3,3,2,3,2,2,3,3,3,3,3,3,3,3,3,3)</f>
        <v>3</v>
      </c>
      <c r="GL7">
        <f t="shared" si="39"/>
        <v>8</v>
      </c>
      <c r="GN7" s="165">
        <v>4</v>
      </c>
      <c r="GO7" s="32">
        <v>1</v>
      </c>
      <c r="GP7" s="32">
        <f>AVERAGE(3,2,2)</f>
        <v>2.3333333333333335</v>
      </c>
      <c r="GQ7" s="32">
        <v>0</v>
      </c>
      <c r="GR7" s="32">
        <v>0</v>
      </c>
      <c r="GS7" s="33">
        <f t="shared" si="40"/>
        <v>3.3333333333333335</v>
      </c>
      <c r="GT7" s="196">
        <f>MEDIAN(3,2,2)</f>
        <v>2</v>
      </c>
      <c r="GU7" s="32">
        <f t="shared" si="41"/>
        <v>3</v>
      </c>
      <c r="GW7" s="165">
        <v>4</v>
      </c>
      <c r="GX7" s="32">
        <v>2</v>
      </c>
      <c r="GY7" s="32">
        <f>AVERAGE(2,2,3)</f>
        <v>2.3333333333333335</v>
      </c>
      <c r="GZ7" s="32">
        <v>3</v>
      </c>
      <c r="HA7" s="32">
        <v>2</v>
      </c>
      <c r="HB7" s="33">
        <f t="shared" si="42"/>
        <v>9.3333333333333339</v>
      </c>
      <c r="HC7" s="196">
        <f>MEDIAN(2,2,3)</f>
        <v>2</v>
      </c>
      <c r="HD7">
        <f t="shared" si="43"/>
        <v>9</v>
      </c>
      <c r="HF7" s="165">
        <v>4</v>
      </c>
      <c r="HG7" s="32">
        <v>0</v>
      </c>
      <c r="HH7" s="32">
        <f>AVERAGE(3,3,2,3,2,2,3,3,3,2)</f>
        <v>2.6</v>
      </c>
      <c r="HI7" s="32">
        <v>3</v>
      </c>
      <c r="HJ7" s="32">
        <v>1</v>
      </c>
      <c r="HK7" s="33">
        <f t="shared" si="44"/>
        <v>6.6</v>
      </c>
      <c r="HL7" s="32">
        <f>MEDIAN(3,3,2,3,2,2,3,3,3,2)</f>
        <v>3</v>
      </c>
      <c r="HM7">
        <f t="shared" si="45"/>
        <v>7</v>
      </c>
      <c r="HO7" s="165">
        <v>4</v>
      </c>
      <c r="HP7" s="32">
        <v>1</v>
      </c>
      <c r="HQ7" s="32">
        <f>AVERAGE(3,3,3,2)</f>
        <v>2.75</v>
      </c>
      <c r="HR7" s="32">
        <v>2</v>
      </c>
      <c r="HS7" s="32">
        <v>2</v>
      </c>
      <c r="HT7" s="33">
        <f t="shared" si="46"/>
        <v>7.75</v>
      </c>
      <c r="HU7" s="32">
        <f>MEDIAN(3,3,3,2)</f>
        <v>3</v>
      </c>
      <c r="HV7">
        <f t="shared" si="47"/>
        <v>8</v>
      </c>
      <c r="HX7" s="165">
        <v>4</v>
      </c>
      <c r="HY7" s="32">
        <v>0</v>
      </c>
      <c r="HZ7" s="32">
        <f>MEDIAN(2,3,2,2,2,2,2,2,2,2,2,2,2,2)</f>
        <v>2</v>
      </c>
      <c r="IA7" s="32">
        <v>0</v>
      </c>
      <c r="IB7" s="32">
        <v>0</v>
      </c>
      <c r="IC7" s="33">
        <f t="shared" si="48"/>
        <v>2</v>
      </c>
      <c r="ID7" s="32">
        <f>MEDIAN(2,3,2,2,2,2,2,2,2,2,2,2,2,2)</f>
        <v>2</v>
      </c>
      <c r="IE7">
        <f t="shared" si="49"/>
        <v>2</v>
      </c>
      <c r="IG7" s="165">
        <v>4</v>
      </c>
      <c r="IH7" s="32">
        <v>0</v>
      </c>
      <c r="II7" s="32">
        <f>MEDIAN(3,3,3,3,3,2,3,3,2,2,2,3)</f>
        <v>3</v>
      </c>
      <c r="IJ7" s="32">
        <v>0</v>
      </c>
      <c r="IK7" s="32">
        <v>0</v>
      </c>
      <c r="IL7" s="33">
        <f t="shared" si="50"/>
        <v>3</v>
      </c>
      <c r="IM7" s="32">
        <f>MEDIAN(3,3,3,3,3,2,3,3,2,2,2,3)</f>
        <v>3</v>
      </c>
      <c r="IN7">
        <f t="shared" si="51"/>
        <v>3</v>
      </c>
      <c r="IP7" s="165">
        <v>4</v>
      </c>
      <c r="IQ7" s="32">
        <v>2</v>
      </c>
      <c r="IR7" s="32">
        <f>AVERAGE(3,3,3,2,3,3,3,3,3,3)</f>
        <v>2.9</v>
      </c>
      <c r="IS7" s="32">
        <v>2</v>
      </c>
      <c r="IT7" s="32">
        <v>1</v>
      </c>
      <c r="IU7" s="33">
        <f t="shared" si="52"/>
        <v>7.9</v>
      </c>
      <c r="IV7" s="32">
        <f>MEDIAN(3,3,3,2,3,3,3,3,3,3)</f>
        <v>3</v>
      </c>
      <c r="IW7">
        <f t="shared" si="53"/>
        <v>8</v>
      </c>
      <c r="IY7" s="165">
        <v>4</v>
      </c>
      <c r="IZ7" s="32">
        <v>0</v>
      </c>
      <c r="JA7" s="32">
        <f>AVERAGE(3,2,3,3,3,3)</f>
        <v>2.8333333333333335</v>
      </c>
      <c r="JB7" s="32">
        <v>2</v>
      </c>
      <c r="JC7" s="32">
        <v>1</v>
      </c>
      <c r="JD7" s="33">
        <f t="shared" si="54"/>
        <v>5.8333333333333339</v>
      </c>
      <c r="JE7" s="32">
        <f>MEDIAN(3,2,3,3,3,3)</f>
        <v>3</v>
      </c>
      <c r="JF7">
        <f t="shared" si="55"/>
        <v>6</v>
      </c>
      <c r="JH7" s="165">
        <v>4</v>
      </c>
      <c r="JI7" s="32">
        <v>0</v>
      </c>
      <c r="JJ7" s="32">
        <f>MEDIAN(3,3,3,3,3,2,3,3,3,2,3,3,3,3,3)</f>
        <v>3</v>
      </c>
      <c r="JK7" s="32">
        <v>2</v>
      </c>
      <c r="JL7" s="32">
        <v>1</v>
      </c>
      <c r="JM7" s="33">
        <f t="shared" si="56"/>
        <v>6</v>
      </c>
      <c r="JN7" s="32">
        <f>MEDIAN(3,3,3,3,3,2,3,3,3,2,3,3,3,3,3)</f>
        <v>3</v>
      </c>
      <c r="JO7">
        <f t="shared" si="57"/>
        <v>6</v>
      </c>
      <c r="JQ7" s="165">
        <v>4</v>
      </c>
      <c r="JR7" s="32">
        <v>0</v>
      </c>
      <c r="JS7" s="32">
        <f>MEDIAN(3,2,3,3)</f>
        <v>3</v>
      </c>
      <c r="JT7" s="32">
        <v>0</v>
      </c>
      <c r="JU7" s="32">
        <v>0</v>
      </c>
      <c r="JV7" s="33">
        <f t="shared" si="58"/>
        <v>3</v>
      </c>
      <c r="JW7" s="32">
        <f>MEDIAN(3,2,3,3)</f>
        <v>3</v>
      </c>
      <c r="JX7">
        <f t="shared" si="59"/>
        <v>3</v>
      </c>
      <c r="JZ7" s="165">
        <v>4</v>
      </c>
      <c r="KA7" s="32">
        <v>0</v>
      </c>
      <c r="KB7" s="32">
        <f>AVERAGE(3,2,3,2,3,3,3,3,3,3,2,3,3)</f>
        <v>2.7692307692307692</v>
      </c>
      <c r="KC7" s="32">
        <v>0</v>
      </c>
      <c r="KD7" s="32">
        <v>1</v>
      </c>
      <c r="KE7" s="33">
        <f t="shared" si="60"/>
        <v>3.7692307692307692</v>
      </c>
      <c r="KF7" s="32">
        <f>MEDIAN(3,2,3,2,3,3,3,3,3,3,2,3,3)</f>
        <v>3</v>
      </c>
      <c r="KG7">
        <f t="shared" si="61"/>
        <v>4</v>
      </c>
      <c r="KI7" s="165">
        <v>4</v>
      </c>
      <c r="KJ7" s="32">
        <v>1</v>
      </c>
      <c r="KK7" s="32">
        <f>AVERAGE(3,3,2,2,3,2,3,2)</f>
        <v>2.5</v>
      </c>
      <c r="KL7" s="32">
        <v>3</v>
      </c>
      <c r="KM7" s="32">
        <v>1</v>
      </c>
      <c r="KN7" s="33">
        <f t="shared" si="62"/>
        <v>7.5</v>
      </c>
      <c r="KO7" s="32">
        <f>MEDIAN(3,3,2,2,3,2,3,2)</f>
        <v>2.5</v>
      </c>
      <c r="KP7">
        <f t="shared" si="63"/>
        <v>7.5</v>
      </c>
      <c r="KR7" s="165">
        <v>4</v>
      </c>
      <c r="KS7" s="32">
        <v>1</v>
      </c>
      <c r="KT7" s="32">
        <f>AVERAGE(3,3,3,3,3)</f>
        <v>3</v>
      </c>
      <c r="KU7" s="32">
        <v>3</v>
      </c>
      <c r="KV7" s="32">
        <v>3</v>
      </c>
      <c r="KW7" s="33">
        <f t="shared" si="64"/>
        <v>10</v>
      </c>
      <c r="KX7" s="32">
        <f>MEDIAN(3,3,3,3,3)</f>
        <v>3</v>
      </c>
      <c r="KY7">
        <f t="shared" si="65"/>
        <v>10</v>
      </c>
      <c r="LA7" s="165">
        <v>4</v>
      </c>
      <c r="LB7" s="32">
        <v>1</v>
      </c>
      <c r="LC7" s="32">
        <f>AVERAGE(3,2,3,3)</f>
        <v>2.75</v>
      </c>
      <c r="LD7" s="32">
        <v>3</v>
      </c>
      <c r="LE7" s="32">
        <v>3</v>
      </c>
      <c r="LF7" s="33">
        <f t="shared" si="66"/>
        <v>9.75</v>
      </c>
      <c r="LG7" s="32">
        <f>MEDIAN(3,2,3,3)</f>
        <v>3</v>
      </c>
      <c r="LH7">
        <f t="shared" si="67"/>
        <v>10</v>
      </c>
      <c r="LK7" s="165">
        <v>4</v>
      </c>
      <c r="LL7" s="32">
        <v>0</v>
      </c>
      <c r="LM7" s="32">
        <f>AVERAGE(3,2,2,2,2)</f>
        <v>2.2000000000000002</v>
      </c>
      <c r="LN7" s="32">
        <v>2</v>
      </c>
      <c r="LO7" s="32">
        <v>2</v>
      </c>
      <c r="LP7" s="33">
        <f t="shared" si="68"/>
        <v>6.2</v>
      </c>
      <c r="LQ7" s="32">
        <f>MEDIAN(3,2,2,2,2)</f>
        <v>2</v>
      </c>
      <c r="LR7">
        <f t="shared" si="69"/>
        <v>6</v>
      </c>
      <c r="LT7" s="165">
        <v>4</v>
      </c>
      <c r="LU7" s="32">
        <v>2</v>
      </c>
      <c r="LV7" s="32">
        <f>AVERAGE(3,3,3,2,2,3,3)</f>
        <v>2.7142857142857144</v>
      </c>
      <c r="LW7" s="32">
        <v>3</v>
      </c>
      <c r="LX7" s="32">
        <v>1</v>
      </c>
      <c r="LY7" s="33">
        <f t="shared" si="70"/>
        <v>8.7142857142857153</v>
      </c>
      <c r="LZ7" s="32">
        <f>MEDIAN(3,3,3,2,2,3,3)</f>
        <v>3</v>
      </c>
      <c r="MA7">
        <f t="shared" si="71"/>
        <v>9</v>
      </c>
      <c r="MC7" s="165">
        <v>4</v>
      </c>
      <c r="MD7" s="32">
        <v>1</v>
      </c>
      <c r="ME7" s="32">
        <f>AVERAGE(3,3,3,2,3,3,3,3,3,2,2,3,3,3,3,2,3)</f>
        <v>2.7647058823529411</v>
      </c>
      <c r="MF7" s="32">
        <v>3</v>
      </c>
      <c r="MG7" s="32">
        <v>2</v>
      </c>
      <c r="MH7" s="33">
        <f t="shared" si="72"/>
        <v>8.764705882352942</v>
      </c>
      <c r="MI7" s="32">
        <f>MEDIAN(3,3,3,2,3,3,3,3,3,2,2,3,3,3,3,2,3)</f>
        <v>3</v>
      </c>
      <c r="MJ7">
        <f t="shared" si="73"/>
        <v>9</v>
      </c>
      <c r="ML7" s="165">
        <v>4</v>
      </c>
      <c r="MM7" s="32">
        <v>1</v>
      </c>
      <c r="MN7" s="32">
        <f>AVERAGE(3,3,3,2,3,3,3,3,3,3,3,3,3,3,3,3,3,3,3,3)</f>
        <v>2.95</v>
      </c>
      <c r="MO7" s="32">
        <v>3</v>
      </c>
      <c r="MP7" s="32">
        <v>2</v>
      </c>
      <c r="MQ7" s="33">
        <f t="shared" si="74"/>
        <v>8.9499999999999993</v>
      </c>
      <c r="MR7" s="32">
        <f>MEDIAN(3,3,3,2,3,3,3,3,3,3,3,3,3,3,3,3,3,3,3,3)</f>
        <v>3</v>
      </c>
      <c r="MS7">
        <f t="shared" si="75"/>
        <v>9</v>
      </c>
      <c r="MU7" s="165">
        <v>4</v>
      </c>
      <c r="MV7" s="32">
        <v>1</v>
      </c>
      <c r="MW7" s="32">
        <f>MEDIAN(3,3,3,2,2,2,2,3,3,2,2,3)</f>
        <v>2.5</v>
      </c>
      <c r="MX7" s="32">
        <v>1</v>
      </c>
      <c r="MY7" s="32">
        <v>1</v>
      </c>
      <c r="MZ7" s="33">
        <f t="shared" si="76"/>
        <v>5.5</v>
      </c>
      <c r="NA7" s="32">
        <f>MEDIAN(3,3,3,2,2,2,2,3,3,2,2,3)</f>
        <v>2.5</v>
      </c>
      <c r="NB7">
        <f t="shared" si="77"/>
        <v>5.5</v>
      </c>
      <c r="ND7" s="165">
        <v>4</v>
      </c>
      <c r="NE7" s="32">
        <v>2</v>
      </c>
      <c r="NF7" s="32">
        <f>MEDIAN(3,3,2,2,3,3,2)</f>
        <v>3</v>
      </c>
      <c r="NG7" s="32">
        <v>2</v>
      </c>
      <c r="NH7" s="32">
        <v>1</v>
      </c>
      <c r="NI7" s="33">
        <f t="shared" si="78"/>
        <v>8</v>
      </c>
      <c r="NJ7" s="32">
        <f>MEDIAN(3,3,2,2,3,3,2)</f>
        <v>3</v>
      </c>
      <c r="NK7">
        <f t="shared" si="79"/>
        <v>8</v>
      </c>
      <c r="NM7" s="165">
        <v>4</v>
      </c>
      <c r="NN7" s="32">
        <v>1</v>
      </c>
      <c r="NO7" s="32">
        <f>AVERAGE(3,3,3,3,2,3,3,3)</f>
        <v>2.875</v>
      </c>
      <c r="NP7" s="32">
        <v>2</v>
      </c>
      <c r="NQ7" s="32">
        <v>1</v>
      </c>
      <c r="NR7" s="33">
        <f t="shared" si="80"/>
        <v>6.875</v>
      </c>
      <c r="NS7" s="32">
        <f>MEDIAN(3,3,3,3,2,3,3,3)</f>
        <v>3</v>
      </c>
      <c r="NT7">
        <f t="shared" si="81"/>
        <v>7</v>
      </c>
      <c r="NV7" s="165">
        <v>4</v>
      </c>
      <c r="NW7" s="32">
        <v>1</v>
      </c>
      <c r="NX7" s="32">
        <f>AVERAGE(3,3,3,3,3,3,3,3,3,3)</f>
        <v>3</v>
      </c>
      <c r="NY7" s="32">
        <v>3</v>
      </c>
      <c r="NZ7" s="32">
        <v>3</v>
      </c>
      <c r="OA7" s="33">
        <f t="shared" si="82"/>
        <v>10</v>
      </c>
      <c r="OB7" s="32">
        <f>MEDIAN(3,3,3,3,3,3,3,3,3,3)</f>
        <v>3</v>
      </c>
      <c r="OC7">
        <f t="shared" si="83"/>
        <v>10</v>
      </c>
      <c r="OE7" s="165">
        <v>4</v>
      </c>
      <c r="OF7" s="32">
        <v>1</v>
      </c>
      <c r="OG7" s="32">
        <f>MEDIAN(3,3,3,2)</f>
        <v>3</v>
      </c>
      <c r="OH7" s="32">
        <v>1</v>
      </c>
      <c r="OI7" s="32">
        <v>0</v>
      </c>
      <c r="OJ7" s="33">
        <f t="shared" si="84"/>
        <v>5</v>
      </c>
      <c r="OK7" s="32">
        <f>MEDIAN(3,3,3,2)</f>
        <v>3</v>
      </c>
      <c r="OL7">
        <f t="shared" si="85"/>
        <v>5</v>
      </c>
      <c r="ON7" s="165">
        <v>4</v>
      </c>
      <c r="OO7" s="32">
        <v>1</v>
      </c>
      <c r="OP7" s="32">
        <f>MEDIAN(3,3)</f>
        <v>3</v>
      </c>
      <c r="OQ7" s="32">
        <v>2</v>
      </c>
      <c r="OR7" s="32">
        <v>1</v>
      </c>
      <c r="OS7" s="33">
        <f t="shared" si="86"/>
        <v>7</v>
      </c>
      <c r="OT7" s="32">
        <f>MEDIAN(3,3)</f>
        <v>3</v>
      </c>
      <c r="OU7">
        <f t="shared" si="87"/>
        <v>7</v>
      </c>
      <c r="OW7" s="165">
        <v>4</v>
      </c>
      <c r="OX7" s="32">
        <v>0</v>
      </c>
      <c r="OY7" s="32">
        <f>AVERAGE(2,1,3)</f>
        <v>2</v>
      </c>
      <c r="OZ7" s="32">
        <v>1</v>
      </c>
      <c r="PA7" s="32">
        <v>1</v>
      </c>
      <c r="PB7" s="33">
        <f t="shared" si="88"/>
        <v>4</v>
      </c>
      <c r="PC7" s="32">
        <f>MEDIAN(2,1,3)</f>
        <v>2</v>
      </c>
      <c r="PD7">
        <f t="shared" si="89"/>
        <v>4</v>
      </c>
      <c r="PF7" s="165">
        <v>4</v>
      </c>
      <c r="PG7" s="32">
        <v>1</v>
      </c>
      <c r="PH7" s="32">
        <f>AVERAGE(2,2,2,3,3,2,2)</f>
        <v>2.2857142857142856</v>
      </c>
      <c r="PI7" s="32">
        <v>1</v>
      </c>
      <c r="PJ7" s="32">
        <v>1</v>
      </c>
      <c r="PK7" s="33">
        <f t="shared" si="90"/>
        <v>5.2857142857142856</v>
      </c>
      <c r="PL7" s="32">
        <f>MEDIAN(2,2,2,3,3,2,2)</f>
        <v>2</v>
      </c>
      <c r="PM7">
        <f t="shared" si="91"/>
        <v>5</v>
      </c>
      <c r="PO7" s="165">
        <v>4</v>
      </c>
      <c r="PP7" s="32">
        <v>1</v>
      </c>
      <c r="PQ7" s="32">
        <f>MEDIAN(2,3,3,3,3,3,2,3,2)</f>
        <v>3</v>
      </c>
      <c r="PR7" s="32">
        <v>1</v>
      </c>
      <c r="PS7" s="32">
        <v>1</v>
      </c>
      <c r="PT7" s="33">
        <f t="shared" si="92"/>
        <v>6</v>
      </c>
      <c r="PV7" s="165">
        <v>4</v>
      </c>
      <c r="PW7" s="32">
        <v>1</v>
      </c>
      <c r="PX7" s="32">
        <f>MEDIAN(2,2,2,2,2,3,2)</f>
        <v>2</v>
      </c>
      <c r="PY7" s="32">
        <v>1</v>
      </c>
      <c r="PZ7" s="32">
        <v>1</v>
      </c>
      <c r="QA7" s="33">
        <f t="shared" si="93"/>
        <v>5</v>
      </c>
      <c r="QB7" s="32">
        <f>MEDIAN(2,2,2,2,2,3,2)</f>
        <v>2</v>
      </c>
      <c r="QC7">
        <f t="shared" si="94"/>
        <v>5</v>
      </c>
      <c r="QE7" s="165">
        <v>4</v>
      </c>
      <c r="QF7" s="32">
        <v>0</v>
      </c>
      <c r="QG7" s="32">
        <f>MEDIAN(2,3,2,3,3,3,2,3,3,3,2,2,2,3,2,2,2,1)</f>
        <v>2</v>
      </c>
      <c r="QH7" s="32">
        <v>0</v>
      </c>
      <c r="QI7" s="32">
        <v>0</v>
      </c>
      <c r="QJ7" s="33">
        <f t="shared" si="95"/>
        <v>2</v>
      </c>
      <c r="QK7" s="32">
        <f>MEDIAN(2,3,2,3,3,3,2,3,3,3,2,2,2,3,2,2,2,1)</f>
        <v>2</v>
      </c>
      <c r="QL7">
        <f t="shared" si="96"/>
        <v>2</v>
      </c>
      <c r="QN7" s="165">
        <v>4</v>
      </c>
      <c r="QO7" s="32">
        <v>1</v>
      </c>
      <c r="QP7" s="32">
        <f>MEDIAN(3,3,3,3,3,2,3,3,2,3,3,3,3)</f>
        <v>3</v>
      </c>
      <c r="QQ7" s="32">
        <v>2</v>
      </c>
      <c r="QR7" s="32">
        <v>2</v>
      </c>
      <c r="QS7" s="33">
        <f t="shared" si="97"/>
        <v>8</v>
      </c>
      <c r="QT7" s="32">
        <f>MEDIAN(3,3,3,3,3,2,3,3,2,3,3,3,3)</f>
        <v>3</v>
      </c>
      <c r="QU7">
        <f t="shared" si="98"/>
        <v>8</v>
      </c>
      <c r="QW7" s="165">
        <v>4</v>
      </c>
      <c r="QX7" s="32">
        <v>1</v>
      </c>
      <c r="QY7" s="32">
        <f>AVERAGE(3,2,3,2,3,3,3,3)</f>
        <v>2.75</v>
      </c>
      <c r="QZ7" s="32">
        <v>1</v>
      </c>
      <c r="RA7" s="32">
        <v>0</v>
      </c>
      <c r="RB7" s="33">
        <f t="shared" si="99"/>
        <v>4.75</v>
      </c>
      <c r="RC7" s="32">
        <f>MEDIAN(3,2,3,2,3,3,3,3)</f>
        <v>3</v>
      </c>
      <c r="RD7">
        <f t="shared" si="100"/>
        <v>5</v>
      </c>
      <c r="RF7" s="165">
        <v>4</v>
      </c>
      <c r="RG7" s="32">
        <v>1</v>
      </c>
      <c r="RH7" s="32">
        <f>AVERAGE(3,3,2,3)</f>
        <v>2.75</v>
      </c>
      <c r="RI7" s="32">
        <v>2</v>
      </c>
      <c r="RJ7" s="32">
        <v>2</v>
      </c>
      <c r="RK7" s="33">
        <f t="shared" si="101"/>
        <v>7.75</v>
      </c>
      <c r="RL7" s="32">
        <f>MEDIAN(3,3,2,3)</f>
        <v>3</v>
      </c>
      <c r="RM7">
        <f t="shared" si="102"/>
        <v>8</v>
      </c>
      <c r="RO7" s="165">
        <v>4</v>
      </c>
      <c r="RP7" s="32">
        <v>0</v>
      </c>
      <c r="RQ7" s="32">
        <f>AVERAGE(3,3,3,3,3,3,3,3,2,3,3)</f>
        <v>2.9090909090909092</v>
      </c>
      <c r="RR7" s="32">
        <v>1</v>
      </c>
      <c r="RS7" s="32">
        <v>1</v>
      </c>
      <c r="RT7" s="33">
        <f t="shared" si="103"/>
        <v>4.9090909090909092</v>
      </c>
      <c r="RU7" s="32">
        <f>MEDIAN(3,3,3,3,3,3,3,3,2,3,3)</f>
        <v>3</v>
      </c>
      <c r="RV7">
        <f t="shared" si="104"/>
        <v>5</v>
      </c>
      <c r="RX7" s="165">
        <v>4</v>
      </c>
      <c r="RY7" s="32">
        <v>1</v>
      </c>
      <c r="RZ7" s="32">
        <f>AVERAGE(3,3,3,3,3,3,2,2,3,2)</f>
        <v>2.7</v>
      </c>
      <c r="SA7" s="32">
        <v>3</v>
      </c>
      <c r="SB7" s="32">
        <v>1</v>
      </c>
      <c r="SC7" s="33">
        <f t="shared" si="105"/>
        <v>7.7</v>
      </c>
      <c r="SD7" s="32">
        <f>MEDIAN(3,3,3,3,3,3,2,2,3,2)</f>
        <v>3</v>
      </c>
      <c r="SE7">
        <f t="shared" si="106"/>
        <v>8</v>
      </c>
      <c r="SG7" s="165">
        <v>4</v>
      </c>
      <c r="SH7" s="32">
        <v>1</v>
      </c>
      <c r="SI7" s="32">
        <f>MEDIAN(3,3,3,3,3,2,2,2)</f>
        <v>3</v>
      </c>
      <c r="SJ7" s="32">
        <v>0</v>
      </c>
      <c r="SK7" s="32">
        <v>0</v>
      </c>
      <c r="SL7" s="33">
        <f t="shared" si="107"/>
        <v>4</v>
      </c>
      <c r="SM7" s="32">
        <f>MEDIAN(3,3,3,3,3,2,2,2)</f>
        <v>3</v>
      </c>
      <c r="SN7">
        <f t="shared" si="108"/>
        <v>4</v>
      </c>
      <c r="SP7" s="165">
        <v>4</v>
      </c>
      <c r="SQ7" s="32">
        <v>0</v>
      </c>
      <c r="SR7" s="32">
        <f>MEDIAN(3,3,3,3)</f>
        <v>3</v>
      </c>
      <c r="SS7" s="32">
        <v>3</v>
      </c>
      <c r="ST7" s="32">
        <v>1</v>
      </c>
      <c r="SU7" s="33">
        <f t="shared" si="109"/>
        <v>7</v>
      </c>
      <c r="SV7" s="32">
        <f>MEDIAN(3,3,3,3)</f>
        <v>3</v>
      </c>
      <c r="SW7">
        <f t="shared" si="110"/>
        <v>7</v>
      </c>
      <c r="SY7" s="165">
        <v>4</v>
      </c>
      <c r="SZ7" s="32">
        <v>2</v>
      </c>
      <c r="TA7" s="32">
        <f>AVERAGE(3,3,2)</f>
        <v>2.6666666666666665</v>
      </c>
      <c r="TB7" s="32">
        <v>3</v>
      </c>
      <c r="TC7" s="32">
        <v>2</v>
      </c>
      <c r="TD7" s="33">
        <f t="shared" si="111"/>
        <v>9.6666666666666661</v>
      </c>
      <c r="TE7" s="32">
        <f>MEDIAN(3,3,2)</f>
        <v>3</v>
      </c>
      <c r="TF7">
        <f t="shared" si="112"/>
        <v>10</v>
      </c>
      <c r="TH7" s="165">
        <v>4</v>
      </c>
      <c r="TI7" s="32">
        <v>0</v>
      </c>
      <c r="TJ7" s="32">
        <f>MEDIAN(3,3,2,3,3,3,3,3,3,3)</f>
        <v>3</v>
      </c>
      <c r="TK7" s="32">
        <v>3</v>
      </c>
      <c r="TL7" s="32">
        <v>1</v>
      </c>
      <c r="TM7" s="33">
        <f t="shared" si="113"/>
        <v>7</v>
      </c>
      <c r="TN7" s="32">
        <f>MEDIAN(3,3,2,3,3,3,3,3,3,3)</f>
        <v>3</v>
      </c>
      <c r="TO7">
        <f t="shared" si="114"/>
        <v>7</v>
      </c>
      <c r="TQ7" s="165">
        <v>4</v>
      </c>
      <c r="TR7" s="32">
        <v>2</v>
      </c>
      <c r="TS7" s="32">
        <f>MEDIAN(1,2,2,3,2,2)</f>
        <v>2</v>
      </c>
      <c r="TT7" s="32">
        <v>0</v>
      </c>
      <c r="TU7" s="32">
        <v>0</v>
      </c>
      <c r="TV7" s="33">
        <f t="shared" si="115"/>
        <v>4</v>
      </c>
      <c r="TX7" s="165">
        <v>4</v>
      </c>
      <c r="TY7" s="32">
        <v>2</v>
      </c>
      <c r="TZ7" s="32">
        <f>MEDIAN(1,2,3,3,3,2,2,2,3,3,2)</f>
        <v>2</v>
      </c>
      <c r="UA7" s="32">
        <v>2</v>
      </c>
      <c r="UB7" s="32">
        <v>1</v>
      </c>
      <c r="UC7" s="33">
        <f t="shared" si="116"/>
        <v>7</v>
      </c>
      <c r="UD7" s="32">
        <f>MEDIAN(1,2,3,3,3,2,2,2,3,3,2)</f>
        <v>2</v>
      </c>
      <c r="UE7">
        <f t="shared" si="117"/>
        <v>7</v>
      </c>
      <c r="UG7" s="165">
        <v>4</v>
      </c>
      <c r="UH7" s="32">
        <v>0</v>
      </c>
      <c r="UI7" s="32">
        <f>MEDIAN(3,3,3,3,3,3,3,3,3,3,3)</f>
        <v>3</v>
      </c>
      <c r="UJ7" s="32">
        <v>2</v>
      </c>
      <c r="UK7" s="32">
        <v>1</v>
      </c>
      <c r="UL7" s="33">
        <f t="shared" si="118"/>
        <v>6</v>
      </c>
      <c r="UN7" s="165">
        <v>4</v>
      </c>
      <c r="UO7" s="32">
        <v>1</v>
      </c>
      <c r="UP7" s="32">
        <f>AVERAGE(2,2,2)</f>
        <v>2</v>
      </c>
      <c r="UQ7" s="32">
        <v>3</v>
      </c>
      <c r="UR7" s="32">
        <v>1</v>
      </c>
      <c r="US7" s="33">
        <f t="shared" si="119"/>
        <v>7</v>
      </c>
      <c r="UT7" s="32">
        <f>MEDIAN(2,2,2)</f>
        <v>2</v>
      </c>
      <c r="UU7">
        <f t="shared" si="120"/>
        <v>7</v>
      </c>
      <c r="UW7" s="165">
        <v>4</v>
      </c>
      <c r="UX7" s="32">
        <v>2</v>
      </c>
      <c r="UY7" s="32">
        <f>AVERAGE(3,3,3,3,3,3,3)</f>
        <v>3</v>
      </c>
      <c r="UZ7" s="32">
        <v>3</v>
      </c>
      <c r="VA7" s="32">
        <v>2</v>
      </c>
      <c r="VB7" s="33">
        <f t="shared" si="121"/>
        <v>10</v>
      </c>
      <c r="VC7" s="32">
        <f>MEDIAN(3,3,3,3,3,3,3)</f>
        <v>3</v>
      </c>
      <c r="VD7">
        <f t="shared" si="122"/>
        <v>10</v>
      </c>
      <c r="VF7" s="165">
        <v>4</v>
      </c>
      <c r="VG7" s="32">
        <v>1</v>
      </c>
      <c r="VH7" s="32">
        <f>AVERAGE(3,3,3,3,3,3,2,3)</f>
        <v>2.875</v>
      </c>
      <c r="VI7" s="32">
        <v>3</v>
      </c>
      <c r="VJ7" s="32">
        <v>2</v>
      </c>
      <c r="VK7" s="33">
        <f t="shared" si="123"/>
        <v>8.875</v>
      </c>
      <c r="VL7" s="32">
        <f>MEDIAN(3,3,3,3,3,3,2,3)</f>
        <v>3</v>
      </c>
      <c r="VM7">
        <f t="shared" si="124"/>
        <v>9</v>
      </c>
      <c r="VO7" s="165">
        <v>4</v>
      </c>
      <c r="VP7" s="32">
        <v>2</v>
      </c>
      <c r="VQ7" s="32">
        <f>AVERAGE(3,3,3,3,3)</f>
        <v>3</v>
      </c>
      <c r="VR7" s="32">
        <v>3</v>
      </c>
      <c r="VS7" s="32">
        <v>1</v>
      </c>
      <c r="VT7" s="33">
        <f t="shared" si="125"/>
        <v>9</v>
      </c>
      <c r="VU7" s="32">
        <f>MEDIAN(3,3,3,3,3)</f>
        <v>3</v>
      </c>
      <c r="VV7">
        <f t="shared" si="126"/>
        <v>9</v>
      </c>
    </row>
    <row r="8" spans="2:594" ht="15" thickBot="1" x14ac:dyDescent="0.4">
      <c r="B8" s="199">
        <v>5</v>
      </c>
      <c r="C8" s="200">
        <v>1</v>
      </c>
      <c r="D8" s="49">
        <f>AVERAGE(2,2,1,2,2,2,3,2,2,2,1)</f>
        <v>1.9090909090909092</v>
      </c>
      <c r="E8" s="200">
        <v>2</v>
      </c>
      <c r="F8" s="200">
        <v>1</v>
      </c>
      <c r="G8" s="201">
        <f t="shared" si="0"/>
        <v>5.9090909090909092</v>
      </c>
      <c r="H8" s="49">
        <f>MEDIAN(2,2,1,2,2,2,3,2,2,2,1)</f>
        <v>2</v>
      </c>
      <c r="I8" s="75">
        <f t="shared" si="1"/>
        <v>6</v>
      </c>
      <c r="K8" s="191">
        <v>5</v>
      </c>
      <c r="L8" s="53">
        <v>1</v>
      </c>
      <c r="M8" s="202">
        <f>AVERAGE(2,2,3,1,2,2,2)</f>
        <v>2</v>
      </c>
      <c r="N8" s="53">
        <v>1</v>
      </c>
      <c r="O8" s="53">
        <v>1</v>
      </c>
      <c r="P8" s="71">
        <f t="shared" si="2"/>
        <v>5</v>
      </c>
      <c r="Q8" s="202">
        <f>MEDIAN(2,2,3,1,2,2,2)</f>
        <v>2</v>
      </c>
      <c r="R8" s="75">
        <f t="shared" si="3"/>
        <v>5</v>
      </c>
      <c r="T8" s="191">
        <v>5</v>
      </c>
      <c r="U8" s="53">
        <v>2</v>
      </c>
      <c r="V8" s="53">
        <f>AVERAGE(3,2,3,3)</f>
        <v>2.75</v>
      </c>
      <c r="W8" s="53">
        <v>2</v>
      </c>
      <c r="X8" s="53">
        <v>2</v>
      </c>
      <c r="Y8" s="53">
        <f>MEDIAN(3,2,3,3)</f>
        <v>3</v>
      </c>
      <c r="Z8" s="18">
        <f t="shared" si="4"/>
        <v>9</v>
      </c>
      <c r="AB8" s="199">
        <v>5</v>
      </c>
      <c r="AC8" s="200">
        <v>1</v>
      </c>
      <c r="AD8" s="200">
        <f>AVERAGE(2,3)</f>
        <v>2.5</v>
      </c>
      <c r="AE8" s="200">
        <v>3</v>
      </c>
      <c r="AF8" s="200">
        <v>2</v>
      </c>
      <c r="AG8" s="200">
        <f>MEDIAN(2,3)</f>
        <v>2.5</v>
      </c>
      <c r="AH8" s="18">
        <f t="shared" si="5"/>
        <v>8.5</v>
      </c>
      <c r="AJ8" s="191">
        <v>5</v>
      </c>
      <c r="AK8" s="53">
        <v>1</v>
      </c>
      <c r="AL8" s="53">
        <f>AVERAGE(3,3,2,2,2)</f>
        <v>2.4</v>
      </c>
      <c r="AM8" s="53">
        <v>2</v>
      </c>
      <c r="AN8" s="53">
        <v>2</v>
      </c>
      <c r="AO8" s="71">
        <f t="shared" si="6"/>
        <v>7.4</v>
      </c>
      <c r="AP8" s="53">
        <f>MEDIAN(3,3,2,2,2)</f>
        <v>2</v>
      </c>
      <c r="AQ8" s="75">
        <f t="shared" si="7"/>
        <v>7</v>
      </c>
      <c r="AS8" s="199">
        <v>5</v>
      </c>
      <c r="AT8" s="200">
        <v>1</v>
      </c>
      <c r="AU8" s="200">
        <f>AVERAGE(2,2,3,3,2,2,2,3,3,2)</f>
        <v>2.4</v>
      </c>
      <c r="AV8" s="200">
        <v>2</v>
      </c>
      <c r="AW8" s="200">
        <v>2</v>
      </c>
      <c r="AX8" s="201">
        <f t="shared" si="8"/>
        <v>7.4</v>
      </c>
      <c r="AY8" s="200">
        <f>MEDIAN(2,2,3,3,2,2,2,3,3,2)</f>
        <v>2</v>
      </c>
      <c r="AZ8" s="75">
        <f t="shared" si="9"/>
        <v>7</v>
      </c>
      <c r="BB8" s="199">
        <v>5</v>
      </c>
      <c r="BC8" s="200">
        <v>2</v>
      </c>
      <c r="BD8" s="200">
        <f>MEDIAN(3,2,3,2,3,2,3)</f>
        <v>3</v>
      </c>
      <c r="BE8" s="200">
        <v>1</v>
      </c>
      <c r="BF8" s="200">
        <v>1</v>
      </c>
      <c r="BG8" s="201">
        <f t="shared" si="10"/>
        <v>7</v>
      </c>
      <c r="BH8" s="200">
        <f>MEDIAN(3,2,3,2,3,2,3)</f>
        <v>3</v>
      </c>
      <c r="BI8" s="75">
        <f t="shared" si="11"/>
        <v>7</v>
      </c>
      <c r="BK8" s="191">
        <v>5</v>
      </c>
      <c r="BL8" s="53">
        <v>0</v>
      </c>
      <c r="BM8" s="49">
        <f>MEDIAN(3,2,2,2,3,3,3,2,2,2)</f>
        <v>2</v>
      </c>
      <c r="BN8" s="53">
        <v>2</v>
      </c>
      <c r="BO8" s="53">
        <v>0</v>
      </c>
      <c r="BP8" s="71">
        <f t="shared" si="12"/>
        <v>4</v>
      </c>
      <c r="BQ8" s="49">
        <f>MEDIAN(3,2,2,2,3,3,3,2,2,2)</f>
        <v>2</v>
      </c>
      <c r="BR8" s="75">
        <f t="shared" si="13"/>
        <v>4</v>
      </c>
      <c r="BT8" s="199">
        <v>5</v>
      </c>
      <c r="BU8" s="200">
        <v>0</v>
      </c>
      <c r="BV8" s="200">
        <f>MEDIAN(2,2,1,1)</f>
        <v>1.5</v>
      </c>
      <c r="BW8" s="200">
        <v>1</v>
      </c>
      <c r="BX8" s="200">
        <v>1</v>
      </c>
      <c r="BY8" s="201">
        <f t="shared" si="14"/>
        <v>3.5</v>
      </c>
      <c r="CB8" s="199">
        <v>5</v>
      </c>
      <c r="CC8" s="200">
        <v>1</v>
      </c>
      <c r="CD8" s="200">
        <f>MEDIAN(2,2,2,2,2,2)</f>
        <v>2</v>
      </c>
      <c r="CE8" s="200">
        <v>0</v>
      </c>
      <c r="CF8" s="200">
        <v>1</v>
      </c>
      <c r="CG8" s="201">
        <f t="shared" si="15"/>
        <v>4</v>
      </c>
      <c r="CJ8" s="199">
        <v>5</v>
      </c>
      <c r="CK8" s="200">
        <v>1</v>
      </c>
      <c r="CL8" s="200">
        <f>MEDIAN(2,2,2,3,3,2,2,2,3,3,2,2,3)</f>
        <v>2</v>
      </c>
      <c r="CM8" s="200">
        <v>2</v>
      </c>
      <c r="CN8" s="200">
        <v>2</v>
      </c>
      <c r="CO8" s="201">
        <f t="shared" si="16"/>
        <v>7</v>
      </c>
      <c r="CP8" s="200">
        <f>MEDIAN(2,2,2,3,3,2,2,2,3,3,2,2,3)</f>
        <v>2</v>
      </c>
      <c r="CQ8" s="75">
        <f t="shared" si="17"/>
        <v>7</v>
      </c>
      <c r="CS8" s="199">
        <v>5</v>
      </c>
      <c r="CT8" s="200">
        <v>2</v>
      </c>
      <c r="CU8" s="200">
        <f>MEDIAN(2,2)</f>
        <v>2</v>
      </c>
      <c r="CV8" s="200">
        <v>2</v>
      </c>
      <c r="CW8" s="200">
        <v>1</v>
      </c>
      <c r="CX8" s="201">
        <f t="shared" si="18"/>
        <v>7</v>
      </c>
      <c r="CY8" s="200">
        <f>MEDIAN(2,2)</f>
        <v>2</v>
      </c>
      <c r="CZ8" s="75">
        <f t="shared" si="19"/>
        <v>7</v>
      </c>
      <c r="DB8" s="191">
        <v>5</v>
      </c>
      <c r="DC8" s="53">
        <v>0</v>
      </c>
      <c r="DD8" s="49">
        <f>AVERAGE(3,3,3,3,3)</f>
        <v>3</v>
      </c>
      <c r="DE8" s="53">
        <v>2</v>
      </c>
      <c r="DF8" s="53">
        <v>1</v>
      </c>
      <c r="DG8" s="71">
        <f t="shared" si="20"/>
        <v>6</v>
      </c>
      <c r="DH8" s="49">
        <f>MEDIAN(3,3,3,3,3)</f>
        <v>3</v>
      </c>
      <c r="DI8" s="75">
        <f t="shared" si="21"/>
        <v>6</v>
      </c>
      <c r="DK8" s="191">
        <v>5</v>
      </c>
      <c r="DL8" s="53">
        <v>0</v>
      </c>
      <c r="DM8" s="49">
        <f>AVERAGE(2,3,2,2,2,3,3,2,2,2,2,3,3,3,3,2)</f>
        <v>2.4375</v>
      </c>
      <c r="DN8" s="53">
        <v>2</v>
      </c>
      <c r="DO8" s="53">
        <v>1</v>
      </c>
      <c r="DP8" s="71">
        <f t="shared" si="22"/>
        <v>5.4375</v>
      </c>
      <c r="DQ8" s="49">
        <f>MEDIAN(2,3,2,2,2,3,3,2,2,2,2,3,3,3,3,2)</f>
        <v>2</v>
      </c>
      <c r="DR8" s="75">
        <f t="shared" si="23"/>
        <v>5</v>
      </c>
      <c r="DT8" s="191">
        <v>5</v>
      </c>
      <c r="DU8" s="53">
        <v>3</v>
      </c>
      <c r="DV8" s="49">
        <f>AVERAGE(3,3,2)</f>
        <v>2.6666666666666665</v>
      </c>
      <c r="DW8" s="53">
        <v>3</v>
      </c>
      <c r="DX8" s="53">
        <v>1</v>
      </c>
      <c r="DY8" s="71">
        <f t="shared" si="24"/>
        <v>9.6666666666666661</v>
      </c>
      <c r="DZ8" s="49">
        <f>MEDIAN(3,3,2)</f>
        <v>3</v>
      </c>
      <c r="EA8" s="75">
        <f t="shared" si="25"/>
        <v>10</v>
      </c>
      <c r="EC8" s="191">
        <v>5</v>
      </c>
      <c r="ED8" s="53">
        <v>1</v>
      </c>
      <c r="EE8" s="49">
        <f>AVERAGE(3,3,3,3,3,3,2,2,3,3)</f>
        <v>2.8</v>
      </c>
      <c r="EF8" s="53">
        <v>2</v>
      </c>
      <c r="EG8" s="53">
        <v>2</v>
      </c>
      <c r="EH8" s="71">
        <f t="shared" si="26"/>
        <v>7.8</v>
      </c>
      <c r="EI8" s="49">
        <f>MEDIAN(3,3,3,3,3,3,2,2,3,3)</f>
        <v>3</v>
      </c>
      <c r="EJ8" s="75">
        <f t="shared" si="27"/>
        <v>8</v>
      </c>
      <c r="EL8" s="199">
        <v>5</v>
      </c>
      <c r="EM8" s="200">
        <v>0</v>
      </c>
      <c r="EN8" s="200">
        <f>AVERAGE(2,2,2,2,2,2,2,2,2,1,2,2,2)</f>
        <v>1.9230769230769231</v>
      </c>
      <c r="EO8" s="200">
        <v>1</v>
      </c>
      <c r="EP8" s="200">
        <v>1</v>
      </c>
      <c r="EQ8" s="201">
        <f t="shared" si="28"/>
        <v>3.9230769230769234</v>
      </c>
      <c r="ER8" s="203">
        <f>MEDIAN(2,2,2,2,2,2,2,2,2,1,2,2,2)</f>
        <v>2</v>
      </c>
      <c r="ES8">
        <f t="shared" si="29"/>
        <v>4</v>
      </c>
      <c r="EU8" s="199">
        <v>5</v>
      </c>
      <c r="EV8" s="200">
        <v>2</v>
      </c>
      <c r="EW8" s="200">
        <f>AVERAGE(2,2,3,2,3,2,2,3,3)</f>
        <v>2.4444444444444446</v>
      </c>
      <c r="EX8" s="200">
        <v>2</v>
      </c>
      <c r="EY8" s="200">
        <v>1</v>
      </c>
      <c r="EZ8" s="201">
        <f t="shared" si="30"/>
        <v>7.4444444444444446</v>
      </c>
      <c r="FA8" s="203">
        <f>MEDIAN(2,2,3,2,3,2,2,3,3)</f>
        <v>2</v>
      </c>
      <c r="FB8">
        <f t="shared" si="31"/>
        <v>7</v>
      </c>
      <c r="FD8" s="199">
        <v>5</v>
      </c>
      <c r="FE8" s="200">
        <v>1</v>
      </c>
      <c r="FF8" s="200">
        <f>AVERAGE(3,2,3,2,3,3,3,3)</f>
        <v>2.75</v>
      </c>
      <c r="FG8" s="200">
        <v>1</v>
      </c>
      <c r="FH8" s="200">
        <v>0</v>
      </c>
      <c r="FI8" s="201">
        <f t="shared" si="32"/>
        <v>4.75</v>
      </c>
      <c r="FJ8" s="203">
        <f>MEDIAN(3,2,3,2,3,3,3,3)</f>
        <v>3</v>
      </c>
      <c r="FK8">
        <f t="shared" si="33"/>
        <v>5</v>
      </c>
      <c r="FM8" s="199">
        <v>5</v>
      </c>
      <c r="FN8" s="200">
        <v>1</v>
      </c>
      <c r="FO8" s="200">
        <f>AVERAGE(3,2,2,1,3,3,3,2)</f>
        <v>2.375</v>
      </c>
      <c r="FP8" s="200">
        <v>3</v>
      </c>
      <c r="FQ8" s="200">
        <v>1</v>
      </c>
      <c r="FR8" s="201">
        <f t="shared" si="34"/>
        <v>7.375</v>
      </c>
      <c r="FS8" s="203">
        <f>MEDIAN(3,2,2,1,3,3,3,2)</f>
        <v>2.5</v>
      </c>
      <c r="FT8">
        <f t="shared" si="35"/>
        <v>7.5</v>
      </c>
      <c r="FV8" s="199">
        <v>5</v>
      </c>
      <c r="FW8" s="200">
        <v>2</v>
      </c>
      <c r="FX8" s="200">
        <f>MEDIAN(3,3,3,3,2)</f>
        <v>3</v>
      </c>
      <c r="FY8" s="200">
        <v>2</v>
      </c>
      <c r="FZ8" s="200">
        <v>2</v>
      </c>
      <c r="GA8" s="201">
        <f t="shared" si="36"/>
        <v>9</v>
      </c>
      <c r="GB8" s="200">
        <f>MEDIAN(3,3,3,3,2)</f>
        <v>3</v>
      </c>
      <c r="GC8">
        <f t="shared" si="37"/>
        <v>9</v>
      </c>
      <c r="GE8" s="199">
        <v>5</v>
      </c>
      <c r="GF8" s="200">
        <v>1</v>
      </c>
      <c r="GG8" s="200">
        <f>MEDIAN(3,3,3,3,3,3,3,2,3,3,3,3)</f>
        <v>3</v>
      </c>
      <c r="GH8" s="200">
        <v>3</v>
      </c>
      <c r="GI8" s="200">
        <v>0</v>
      </c>
      <c r="GJ8" s="18">
        <f t="shared" si="38"/>
        <v>7</v>
      </c>
      <c r="GK8" s="200">
        <f>MEDIAN(3,3,3,3,3,3,3,2,3,3,3,3)</f>
        <v>3</v>
      </c>
      <c r="GL8">
        <f t="shared" si="39"/>
        <v>7</v>
      </c>
      <c r="GN8" s="199">
        <v>5</v>
      </c>
      <c r="GO8" s="200">
        <v>2</v>
      </c>
      <c r="GP8" s="200">
        <f>AVERAGE(2,2,3,3,2,3,3,3,3,2)</f>
        <v>2.6</v>
      </c>
      <c r="GQ8" s="200">
        <v>1</v>
      </c>
      <c r="GR8" s="200">
        <v>1</v>
      </c>
      <c r="GS8" s="201">
        <f t="shared" si="40"/>
        <v>6.6</v>
      </c>
      <c r="GT8" s="196">
        <f>MEDIAN(2,2,3,3,2,3,3,3,3,2)</f>
        <v>3</v>
      </c>
      <c r="GU8" s="32">
        <f t="shared" si="41"/>
        <v>7</v>
      </c>
      <c r="GW8" s="199">
        <v>5</v>
      </c>
      <c r="GX8" s="200">
        <v>1</v>
      </c>
      <c r="GY8" s="200">
        <f>AVERAGE(3,3,3)</f>
        <v>3</v>
      </c>
      <c r="GZ8" s="200">
        <v>3</v>
      </c>
      <c r="HA8" s="200">
        <v>3</v>
      </c>
      <c r="HB8" s="201">
        <f t="shared" si="42"/>
        <v>10</v>
      </c>
      <c r="HC8" s="196">
        <f>MEDIAN(3,3,3)</f>
        <v>3</v>
      </c>
      <c r="HD8">
        <f t="shared" si="43"/>
        <v>10</v>
      </c>
      <c r="HF8" s="199">
        <v>5</v>
      </c>
      <c r="HG8" s="200">
        <v>0</v>
      </c>
      <c r="HH8" s="200">
        <f>AVERAGE(3,3,3,3,3,3,2)</f>
        <v>2.8571428571428572</v>
      </c>
      <c r="HI8" s="200">
        <v>3</v>
      </c>
      <c r="HJ8" s="200">
        <v>1</v>
      </c>
      <c r="HK8" s="201">
        <f t="shared" si="44"/>
        <v>6.8571428571428577</v>
      </c>
      <c r="HL8" s="200">
        <f>MEDIAN(3,3,3,3,3,3,2)</f>
        <v>3</v>
      </c>
      <c r="HM8">
        <f t="shared" si="45"/>
        <v>7</v>
      </c>
      <c r="HO8" s="199">
        <v>5</v>
      </c>
      <c r="HP8" s="200">
        <v>1</v>
      </c>
      <c r="HQ8" s="200">
        <f>AVERAGE(3)</f>
        <v>3</v>
      </c>
      <c r="HR8" s="200">
        <v>2</v>
      </c>
      <c r="HS8" s="200">
        <v>2</v>
      </c>
      <c r="HT8" s="201">
        <f t="shared" si="46"/>
        <v>8</v>
      </c>
      <c r="HU8" s="200">
        <f>MEDIAN(3)</f>
        <v>3</v>
      </c>
      <c r="HV8">
        <f t="shared" si="47"/>
        <v>8</v>
      </c>
      <c r="HX8" s="199">
        <v>5</v>
      </c>
      <c r="HY8" s="200">
        <v>0</v>
      </c>
      <c r="HZ8" s="200">
        <f>MEDIAN(2,2,2,2,2,2,2,2,2,2,2,2,2)</f>
        <v>2</v>
      </c>
      <c r="IA8" s="200">
        <v>0</v>
      </c>
      <c r="IB8" s="200">
        <v>0</v>
      </c>
      <c r="IC8" s="201">
        <f t="shared" si="48"/>
        <v>2</v>
      </c>
      <c r="ID8" s="200">
        <f>MEDIAN(2,2,2,2,2,2,2,2,2,2,2,2,2)</f>
        <v>2</v>
      </c>
      <c r="IE8">
        <f t="shared" si="49"/>
        <v>2</v>
      </c>
      <c r="IG8" s="199">
        <v>5</v>
      </c>
      <c r="IH8" s="200">
        <v>0</v>
      </c>
      <c r="II8" s="200">
        <f>MEDIAN(3,2,3,3,3,3,3,3,2)</f>
        <v>3</v>
      </c>
      <c r="IJ8" s="200">
        <v>0</v>
      </c>
      <c r="IK8" s="200">
        <v>0</v>
      </c>
      <c r="IL8" s="201">
        <f t="shared" si="50"/>
        <v>3</v>
      </c>
      <c r="IM8" s="200">
        <f>MEDIAN(3,2,3,3,3,3,3,3,2)</f>
        <v>3</v>
      </c>
      <c r="IN8">
        <f t="shared" si="51"/>
        <v>3</v>
      </c>
      <c r="IP8" s="199">
        <v>5</v>
      </c>
      <c r="IQ8" s="200">
        <v>0</v>
      </c>
      <c r="IR8" s="200">
        <f>AVERAGE(3,3,3,3,3,3)</f>
        <v>3</v>
      </c>
      <c r="IS8" s="200">
        <v>3</v>
      </c>
      <c r="IT8" s="200">
        <v>1</v>
      </c>
      <c r="IU8" s="201">
        <f t="shared" si="52"/>
        <v>7</v>
      </c>
      <c r="IV8" s="200">
        <f>MEDIAN(3,3,3,3,3,3)</f>
        <v>3</v>
      </c>
      <c r="IW8">
        <f t="shared" si="53"/>
        <v>7</v>
      </c>
      <c r="IY8" s="199">
        <v>5</v>
      </c>
      <c r="IZ8" s="200">
        <v>1</v>
      </c>
      <c r="JA8" s="200">
        <f>AVERAGE(2,2,3,3,3,3,2,3,2,3)</f>
        <v>2.6</v>
      </c>
      <c r="JB8" s="200">
        <v>3</v>
      </c>
      <c r="JC8" s="200">
        <v>1</v>
      </c>
      <c r="JD8" s="201">
        <f t="shared" si="54"/>
        <v>7.6</v>
      </c>
      <c r="JE8" s="200">
        <f>MEDIAN(2,2,3,3,3,3,2,3,2,3)</f>
        <v>3</v>
      </c>
      <c r="JF8">
        <f t="shared" si="55"/>
        <v>8</v>
      </c>
      <c r="JH8" s="199">
        <v>5</v>
      </c>
      <c r="JI8" s="200">
        <v>0</v>
      </c>
      <c r="JJ8" s="200">
        <f>MEDIAN(3,3,3,2,2,3,3,3,3,3,3,3,3,3,3)</f>
        <v>3</v>
      </c>
      <c r="JK8" s="200">
        <v>3</v>
      </c>
      <c r="JL8" s="200">
        <v>1</v>
      </c>
      <c r="JM8" s="201">
        <f t="shared" si="56"/>
        <v>7</v>
      </c>
      <c r="JN8" s="200">
        <f>MEDIAN(3,3,3,2,2,3,3,3,3,3,3,3,3,3,3)</f>
        <v>3</v>
      </c>
      <c r="JO8">
        <f t="shared" si="57"/>
        <v>7</v>
      </c>
      <c r="JQ8" s="199">
        <v>5</v>
      </c>
      <c r="JR8" s="200">
        <v>0</v>
      </c>
      <c r="JS8" s="200">
        <f>MEDIAN(3,3,3,2,3,2)</f>
        <v>3</v>
      </c>
      <c r="JT8" s="200">
        <v>0</v>
      </c>
      <c r="JU8" s="200">
        <v>0</v>
      </c>
      <c r="JV8" s="201">
        <f t="shared" si="58"/>
        <v>3</v>
      </c>
      <c r="JW8" s="200">
        <f>MEDIAN(3,3,3,2,3,2)</f>
        <v>3</v>
      </c>
      <c r="JX8">
        <f t="shared" si="59"/>
        <v>3</v>
      </c>
      <c r="JZ8" s="199">
        <v>5</v>
      </c>
      <c r="KA8" s="200">
        <v>0</v>
      </c>
      <c r="KB8" s="200">
        <f>AVERAGE(3,3,3,3,3,3,3,3,2,3)</f>
        <v>2.9</v>
      </c>
      <c r="KC8" s="200">
        <v>0</v>
      </c>
      <c r="KD8" s="200">
        <v>1</v>
      </c>
      <c r="KE8" s="201">
        <f t="shared" si="60"/>
        <v>3.9</v>
      </c>
      <c r="KF8" s="200">
        <f>MEDIAN(3,3,3,3,3,3,3,3,2,3)</f>
        <v>3</v>
      </c>
      <c r="KG8">
        <f t="shared" si="61"/>
        <v>4</v>
      </c>
      <c r="KI8" s="199">
        <v>5</v>
      </c>
      <c r="KJ8" s="200">
        <v>0</v>
      </c>
      <c r="KK8" s="200">
        <f>AVERAGE(3,3,2,3)</f>
        <v>2.75</v>
      </c>
      <c r="KL8" s="200">
        <v>3</v>
      </c>
      <c r="KM8" s="200">
        <v>2</v>
      </c>
      <c r="KN8" s="201">
        <f t="shared" si="62"/>
        <v>7.75</v>
      </c>
      <c r="KO8" s="200">
        <f>MEDIAN(3,3,2,3)</f>
        <v>3</v>
      </c>
      <c r="KP8">
        <f t="shared" si="63"/>
        <v>8</v>
      </c>
      <c r="KR8" s="199">
        <v>5</v>
      </c>
      <c r="KS8" s="200">
        <v>1</v>
      </c>
      <c r="KT8" s="200">
        <f>AVERAGE(2,2,3,3,2,2,2,3,2,2)</f>
        <v>2.2999999999999998</v>
      </c>
      <c r="KU8" s="200" t="s">
        <v>31</v>
      </c>
      <c r="KV8" s="200">
        <v>3</v>
      </c>
      <c r="KW8" s="201">
        <f t="shared" si="64"/>
        <v>6.3</v>
      </c>
      <c r="KX8" s="200">
        <f>MEDIAN(2,2,3,3,2,2,2,3,2,2)</f>
        <v>2</v>
      </c>
      <c r="KY8">
        <f t="shared" si="65"/>
        <v>6</v>
      </c>
      <c r="KZ8">
        <f>KY8*(4/3)</f>
        <v>8</v>
      </c>
      <c r="LA8" s="199">
        <v>5</v>
      </c>
      <c r="LB8" s="200">
        <v>1</v>
      </c>
      <c r="LC8" s="200">
        <f>AVERAGE(2,3,2,1)</f>
        <v>2</v>
      </c>
      <c r="LD8" s="200">
        <v>3</v>
      </c>
      <c r="LE8" s="200">
        <v>3</v>
      </c>
      <c r="LF8" s="201">
        <f t="shared" si="66"/>
        <v>9</v>
      </c>
      <c r="LG8" s="200">
        <f>MEDIAN(2,3,2,1)</f>
        <v>2</v>
      </c>
      <c r="LH8">
        <f t="shared" si="67"/>
        <v>9</v>
      </c>
      <c r="LK8" s="199">
        <v>5</v>
      </c>
      <c r="LL8" s="200">
        <v>1</v>
      </c>
      <c r="LM8" s="200">
        <f>AVERAGE(3,2,3,2,3,3)</f>
        <v>2.6666666666666665</v>
      </c>
      <c r="LN8" s="200">
        <v>2</v>
      </c>
      <c r="LO8" s="200">
        <v>1</v>
      </c>
      <c r="LP8" s="201">
        <f t="shared" si="68"/>
        <v>6.6666666666666661</v>
      </c>
      <c r="LQ8" s="200">
        <f>MEDIAN(3,2,3,2,3,3)</f>
        <v>3</v>
      </c>
      <c r="LR8">
        <f t="shared" si="69"/>
        <v>7</v>
      </c>
      <c r="LT8" s="199">
        <v>5</v>
      </c>
      <c r="LU8" s="200">
        <v>1</v>
      </c>
      <c r="LV8" s="200">
        <f>AVERAGE(3,3,2,3,2,3,3,3,2)</f>
        <v>2.6666666666666665</v>
      </c>
      <c r="LW8" s="200">
        <v>1</v>
      </c>
      <c r="LX8" s="200">
        <v>1</v>
      </c>
      <c r="LY8" s="201">
        <f t="shared" si="70"/>
        <v>5.6666666666666661</v>
      </c>
      <c r="LZ8" s="200">
        <f>MEDIAN(3,3,2,3,2,3,3,3,2)</f>
        <v>3</v>
      </c>
      <c r="MA8">
        <f t="shared" si="71"/>
        <v>6</v>
      </c>
      <c r="MC8" s="199">
        <v>5</v>
      </c>
      <c r="MD8" s="200">
        <v>2</v>
      </c>
      <c r="ME8" s="200">
        <f>AVERAGE(2,3,2,3,3,3,3,3,3,3)</f>
        <v>2.8</v>
      </c>
      <c r="MF8" s="200">
        <v>3</v>
      </c>
      <c r="MG8" s="200">
        <v>3</v>
      </c>
      <c r="MH8" s="201">
        <f t="shared" si="72"/>
        <v>10.8</v>
      </c>
      <c r="MI8" s="200">
        <f>MEDIAN(2,3,2,3,3,3,3,3,3,3)</f>
        <v>3</v>
      </c>
      <c r="MJ8">
        <f t="shared" si="73"/>
        <v>11</v>
      </c>
      <c r="ML8" s="199">
        <v>5</v>
      </c>
      <c r="MM8" s="200">
        <v>1</v>
      </c>
      <c r="MN8" s="200">
        <f>AVERAGE(3,3,3,3,3,3)</f>
        <v>3</v>
      </c>
      <c r="MO8" s="200">
        <v>1</v>
      </c>
      <c r="MP8" s="200">
        <v>1</v>
      </c>
      <c r="MQ8" s="201">
        <f t="shared" si="74"/>
        <v>6</v>
      </c>
      <c r="MR8" s="200">
        <f>MEDIAN(3,3,3,3,3,3)</f>
        <v>3</v>
      </c>
      <c r="MS8">
        <f t="shared" si="75"/>
        <v>6</v>
      </c>
      <c r="MU8" s="199">
        <v>5</v>
      </c>
      <c r="MV8" s="200">
        <v>1</v>
      </c>
      <c r="MW8" s="200">
        <f>MEDIAN(2,2,2,2,3,2,3,1,3,3,2,3,2,3,3)</f>
        <v>2</v>
      </c>
      <c r="MX8" s="200">
        <v>1</v>
      </c>
      <c r="MY8" s="200">
        <v>1</v>
      </c>
      <c r="MZ8" s="201">
        <f t="shared" si="76"/>
        <v>5</v>
      </c>
      <c r="NA8" s="200">
        <f>MEDIAN(2,2,2,2,3,2,3,1,3,3,2,3,2,3,3)</f>
        <v>2</v>
      </c>
      <c r="NB8">
        <f t="shared" si="77"/>
        <v>5</v>
      </c>
      <c r="ND8" s="199">
        <v>5</v>
      </c>
      <c r="NE8" s="200">
        <v>0</v>
      </c>
      <c r="NF8" s="200">
        <f>MEDIAN(2,3)</f>
        <v>2.5</v>
      </c>
      <c r="NG8" s="200">
        <v>1</v>
      </c>
      <c r="NH8" s="200">
        <v>1</v>
      </c>
      <c r="NI8" s="201">
        <f t="shared" si="78"/>
        <v>4.5</v>
      </c>
      <c r="NJ8" s="200">
        <f>MEDIAN(2,3)</f>
        <v>2.5</v>
      </c>
      <c r="NK8">
        <f t="shared" si="79"/>
        <v>4.5</v>
      </c>
      <c r="NM8" s="199">
        <v>5</v>
      </c>
      <c r="NN8" s="200">
        <v>1</v>
      </c>
      <c r="NO8" s="200">
        <f>AVERAGE(3,3,3,3,2,3,2,3,2,3)</f>
        <v>2.7</v>
      </c>
      <c r="NP8" s="200">
        <v>2</v>
      </c>
      <c r="NQ8" s="200">
        <v>1</v>
      </c>
      <c r="NR8" s="201">
        <f t="shared" si="80"/>
        <v>6.7</v>
      </c>
      <c r="NS8" s="200">
        <f>MEDIAN(3,3,3,3,2,3,2,3,2,3)</f>
        <v>3</v>
      </c>
      <c r="NT8">
        <f t="shared" si="81"/>
        <v>7</v>
      </c>
      <c r="NV8" s="199">
        <v>5</v>
      </c>
      <c r="NW8" s="200">
        <v>1</v>
      </c>
      <c r="NX8" s="200">
        <f>AVERAGE(3,2,3,3,2,3,3,3,2,3,3,3,3)</f>
        <v>2.7692307692307692</v>
      </c>
      <c r="NY8" s="200">
        <v>3</v>
      </c>
      <c r="NZ8" s="200">
        <v>2</v>
      </c>
      <c r="OA8" s="201">
        <f t="shared" si="82"/>
        <v>8.7692307692307701</v>
      </c>
      <c r="OB8" s="200">
        <f>MEDIAN(3,2,3,3,2,3,3,3,2,3,3,3,3)</f>
        <v>3</v>
      </c>
      <c r="OC8">
        <f t="shared" si="83"/>
        <v>9</v>
      </c>
      <c r="OE8" s="199">
        <v>5</v>
      </c>
      <c r="OF8" s="200">
        <v>1</v>
      </c>
      <c r="OG8" s="200">
        <f>MEDIAN(3,3,2,2,2,2,3,3,3)</f>
        <v>3</v>
      </c>
      <c r="OH8" s="200">
        <v>1</v>
      </c>
      <c r="OI8" s="200">
        <v>0</v>
      </c>
      <c r="OJ8" s="201">
        <f t="shared" si="84"/>
        <v>5</v>
      </c>
      <c r="OK8" s="200">
        <f>MEDIAN(3,3,2,2,2,2,3,3,3)</f>
        <v>3</v>
      </c>
      <c r="OL8">
        <f t="shared" si="85"/>
        <v>5</v>
      </c>
      <c r="ON8" s="199">
        <v>5</v>
      </c>
      <c r="OO8" s="200">
        <v>2</v>
      </c>
      <c r="OP8" s="200">
        <f>MEDIAN(3,3,3,3,3,3,3,3,3,3,2)</f>
        <v>3</v>
      </c>
      <c r="OQ8" s="200">
        <v>2</v>
      </c>
      <c r="OR8" s="200">
        <v>1</v>
      </c>
      <c r="OS8" s="201">
        <f t="shared" si="86"/>
        <v>8</v>
      </c>
      <c r="OT8" s="200">
        <f>MEDIAN(3,3,3,3,3,3,3,3,3,3,2)</f>
        <v>3</v>
      </c>
      <c r="OU8">
        <f t="shared" si="87"/>
        <v>8</v>
      </c>
      <c r="OW8" s="199">
        <v>5</v>
      </c>
      <c r="OX8" s="200">
        <v>0</v>
      </c>
      <c r="OY8" s="200">
        <f>AVERAGE(3,3,3,2)</f>
        <v>2.75</v>
      </c>
      <c r="OZ8" s="200">
        <v>2</v>
      </c>
      <c r="PA8" s="200">
        <v>1</v>
      </c>
      <c r="PB8" s="201">
        <f t="shared" si="88"/>
        <v>5.75</v>
      </c>
      <c r="PC8" s="200">
        <f>MEDIAN(3,3,3,2)</f>
        <v>3</v>
      </c>
      <c r="PD8">
        <f t="shared" si="89"/>
        <v>6</v>
      </c>
      <c r="PF8" s="199">
        <v>5</v>
      </c>
      <c r="PG8" s="200">
        <v>1</v>
      </c>
      <c r="PH8" s="200">
        <f>AVERAGE(2,3,2,3,3,3,2)</f>
        <v>2.5714285714285716</v>
      </c>
      <c r="PI8" s="200">
        <v>1</v>
      </c>
      <c r="PJ8" s="200">
        <v>1</v>
      </c>
      <c r="PK8" s="201">
        <f t="shared" si="90"/>
        <v>5.5714285714285712</v>
      </c>
      <c r="PL8" s="200">
        <f>MEDIAN(2,3,2,3,3,3,2)</f>
        <v>3</v>
      </c>
      <c r="PM8">
        <f t="shared" si="91"/>
        <v>6</v>
      </c>
      <c r="PO8" s="199">
        <v>5</v>
      </c>
      <c r="PP8" s="200">
        <v>1</v>
      </c>
      <c r="PQ8" s="200">
        <f>MEDIAN(2)</f>
        <v>2</v>
      </c>
      <c r="PR8" s="200">
        <v>2</v>
      </c>
      <c r="PS8" s="200">
        <v>3</v>
      </c>
      <c r="PT8" s="201">
        <f t="shared" si="92"/>
        <v>8</v>
      </c>
      <c r="PV8" s="199">
        <v>5</v>
      </c>
      <c r="PW8" s="200">
        <v>1</v>
      </c>
      <c r="PX8" s="200">
        <f>MEDIAN(3,3,2,2,2,3)</f>
        <v>2.5</v>
      </c>
      <c r="PY8" s="200">
        <v>1</v>
      </c>
      <c r="PZ8" s="200">
        <v>1</v>
      </c>
      <c r="QA8" s="201">
        <f t="shared" si="93"/>
        <v>5.5</v>
      </c>
      <c r="QB8" s="200">
        <f>MEDIAN(3,3,2,2,2,3)</f>
        <v>2.5</v>
      </c>
      <c r="QC8">
        <f t="shared" si="94"/>
        <v>5.5</v>
      </c>
      <c r="QE8" s="199">
        <v>5</v>
      </c>
      <c r="QF8" s="200">
        <v>0</v>
      </c>
      <c r="QG8" s="200">
        <f>MEDIAN(3,3,3,3,3,3,2,3,3,2,3,3)</f>
        <v>3</v>
      </c>
      <c r="QH8" s="200">
        <v>1</v>
      </c>
      <c r="QI8" s="200">
        <v>0</v>
      </c>
      <c r="QJ8" s="201">
        <f t="shared" si="95"/>
        <v>4</v>
      </c>
      <c r="QK8" s="200">
        <f>MEDIAN(3,3,3,3,3,3,2,3,3,2,3,3)</f>
        <v>3</v>
      </c>
      <c r="QL8">
        <f t="shared" si="96"/>
        <v>4</v>
      </c>
      <c r="QN8" s="199">
        <v>5</v>
      </c>
      <c r="QO8" s="200">
        <v>1</v>
      </c>
      <c r="QP8" s="200">
        <f>MEDIAN(3,3,3,3,2,2,2,3,2,3,3)</f>
        <v>3</v>
      </c>
      <c r="QQ8" s="200">
        <v>3</v>
      </c>
      <c r="QR8" s="200">
        <v>2</v>
      </c>
      <c r="QS8" s="201">
        <f t="shared" si="97"/>
        <v>9</v>
      </c>
      <c r="QT8" s="200">
        <f>MEDIAN(3,3,3,3,2,2,2,3,2,3,3)</f>
        <v>3</v>
      </c>
      <c r="QU8">
        <f t="shared" si="98"/>
        <v>9</v>
      </c>
      <c r="QW8" s="199">
        <v>5</v>
      </c>
      <c r="QX8" s="200">
        <v>1</v>
      </c>
      <c r="QY8" s="200">
        <f>AVERAGE(3,3,3,3,3,3,3,3,3,2)</f>
        <v>2.9</v>
      </c>
      <c r="QZ8" s="200">
        <v>3</v>
      </c>
      <c r="RA8" s="200">
        <v>1</v>
      </c>
      <c r="RB8" s="201">
        <f t="shared" si="99"/>
        <v>7.9</v>
      </c>
      <c r="RC8" s="200">
        <f>MEDIAN(3,3,3,3,3,3,3,3,3,2)</f>
        <v>3</v>
      </c>
      <c r="RD8">
        <f t="shared" si="100"/>
        <v>8</v>
      </c>
      <c r="RF8" s="199">
        <v>5</v>
      </c>
      <c r="RG8" s="200">
        <v>0</v>
      </c>
      <c r="RH8" s="200">
        <f>AVERAGE(3,3,3,3,3,2,2)</f>
        <v>2.7142857142857144</v>
      </c>
      <c r="RI8" s="200">
        <v>0</v>
      </c>
      <c r="RJ8" s="200">
        <v>1</v>
      </c>
      <c r="RK8" s="201">
        <f t="shared" si="101"/>
        <v>3.7142857142857144</v>
      </c>
      <c r="RL8" s="200">
        <f>MEDIAN(3,3,3,3,3,2,2)</f>
        <v>3</v>
      </c>
      <c r="RM8">
        <f t="shared" si="102"/>
        <v>4</v>
      </c>
      <c r="RO8" s="199">
        <v>5</v>
      </c>
      <c r="RP8" s="200">
        <v>0</v>
      </c>
      <c r="RQ8" s="200">
        <f>AVERAGE(2,2,3,2,3,2,3)</f>
        <v>2.4285714285714284</v>
      </c>
      <c r="RR8" s="200">
        <v>1</v>
      </c>
      <c r="RS8" s="200">
        <v>0</v>
      </c>
      <c r="RT8" s="201">
        <f t="shared" si="103"/>
        <v>3.4285714285714284</v>
      </c>
      <c r="RU8" s="200">
        <f>MEDIAN(2,2,3,2,3,2,3)</f>
        <v>2</v>
      </c>
      <c r="RV8">
        <f t="shared" si="104"/>
        <v>3</v>
      </c>
      <c r="RX8" s="199">
        <v>5</v>
      </c>
      <c r="RY8" s="200">
        <v>1</v>
      </c>
      <c r="RZ8" s="200">
        <f>AVERAGE(3,3,2,3,3)</f>
        <v>2.8</v>
      </c>
      <c r="SA8" s="200">
        <v>1</v>
      </c>
      <c r="SB8" s="200">
        <v>1</v>
      </c>
      <c r="SC8" s="201">
        <f t="shared" si="105"/>
        <v>5.8</v>
      </c>
      <c r="SD8" s="200">
        <f>MEDIAN(3,3,2,3,3)</f>
        <v>3</v>
      </c>
      <c r="SE8">
        <f t="shared" si="106"/>
        <v>6</v>
      </c>
      <c r="SG8" s="199">
        <v>5</v>
      </c>
      <c r="SH8" s="200">
        <v>0</v>
      </c>
      <c r="SI8" s="200">
        <f>MEDIAN(2,3,2,3,3,2,3,3,3,3,3)</f>
        <v>3</v>
      </c>
      <c r="SJ8" s="200">
        <v>0</v>
      </c>
      <c r="SK8" s="200">
        <v>0</v>
      </c>
      <c r="SL8" s="201">
        <f t="shared" si="107"/>
        <v>3</v>
      </c>
      <c r="SM8" s="200">
        <f>MEDIAN(2,3,2,3,3,2,3,3,3,3,3)</f>
        <v>3</v>
      </c>
      <c r="SN8">
        <f t="shared" si="108"/>
        <v>3</v>
      </c>
      <c r="SP8" s="199">
        <v>5</v>
      </c>
      <c r="SQ8" s="200">
        <v>2</v>
      </c>
      <c r="SR8" s="200">
        <f>MEDIAN(3,2,3,3,2,3,3)</f>
        <v>3</v>
      </c>
      <c r="SS8" s="200">
        <v>3</v>
      </c>
      <c r="ST8" s="200">
        <v>1</v>
      </c>
      <c r="SU8" s="201">
        <f t="shared" si="109"/>
        <v>9</v>
      </c>
      <c r="SV8" s="200">
        <f>MEDIAN(3,2,3,3,2,3,3)</f>
        <v>3</v>
      </c>
      <c r="SW8">
        <f t="shared" si="110"/>
        <v>9</v>
      </c>
      <c r="SY8" s="199">
        <v>5</v>
      </c>
      <c r="SZ8" s="200">
        <v>1</v>
      </c>
      <c r="TA8" s="200">
        <f>AVERAGE(3,3,3,3,3,2)</f>
        <v>2.8333333333333335</v>
      </c>
      <c r="TB8" s="200">
        <v>1</v>
      </c>
      <c r="TC8" s="200">
        <v>0</v>
      </c>
      <c r="TD8" s="201">
        <f t="shared" si="111"/>
        <v>4.8333333333333339</v>
      </c>
      <c r="TE8" s="200">
        <f>MEDIAN(3,3,3,3,3,2)</f>
        <v>3</v>
      </c>
      <c r="TF8">
        <f t="shared" si="112"/>
        <v>5</v>
      </c>
      <c r="TH8" s="199">
        <v>5</v>
      </c>
      <c r="TI8" s="200">
        <v>1</v>
      </c>
      <c r="TJ8" s="200">
        <f>MEDIAN(3,3,3,3,3,3,2,3,3,3,3,3,3)</f>
        <v>3</v>
      </c>
      <c r="TK8" s="200">
        <v>3</v>
      </c>
      <c r="TL8" s="200">
        <v>2</v>
      </c>
      <c r="TM8" s="201">
        <f t="shared" si="113"/>
        <v>9</v>
      </c>
      <c r="TN8" s="200">
        <f>MEDIAN(3,3,3,3,3,3,2,3,3,3,3,3,3)</f>
        <v>3</v>
      </c>
      <c r="TO8">
        <f t="shared" si="114"/>
        <v>9</v>
      </c>
      <c r="TQ8" s="199">
        <v>5</v>
      </c>
      <c r="TR8" s="200">
        <v>1</v>
      </c>
      <c r="TS8" s="200">
        <f>MEDIAN(2,1,2,3,2)</f>
        <v>2</v>
      </c>
      <c r="TT8" s="200">
        <v>1</v>
      </c>
      <c r="TU8" s="200">
        <v>1</v>
      </c>
      <c r="TV8" s="201">
        <f t="shared" si="115"/>
        <v>5</v>
      </c>
      <c r="TX8" s="199">
        <v>5</v>
      </c>
      <c r="TY8" s="200">
        <v>2</v>
      </c>
      <c r="TZ8" s="200">
        <f>MEDIAN(3,2,3,3,3,3,2,1,2,2,3,2,3,2,2,2)</f>
        <v>2</v>
      </c>
      <c r="UA8" s="200">
        <v>2</v>
      </c>
      <c r="UB8" s="200">
        <v>1</v>
      </c>
      <c r="UC8" s="201">
        <f t="shared" si="116"/>
        <v>7</v>
      </c>
      <c r="UD8" s="200">
        <f>MEDIAN(3,2,3,3,3,3,2,1,2,2,3,2,3,2,2,2)</f>
        <v>2</v>
      </c>
      <c r="UE8">
        <f t="shared" si="117"/>
        <v>7</v>
      </c>
      <c r="UG8" s="199">
        <v>5</v>
      </c>
      <c r="UH8" s="200">
        <v>0</v>
      </c>
      <c r="UI8" s="200">
        <f>MEDIAN(3,3,3,3,3,3,3,3,3)</f>
        <v>3</v>
      </c>
      <c r="UJ8" s="200">
        <v>2</v>
      </c>
      <c r="UK8" s="200">
        <v>1</v>
      </c>
      <c r="UL8" s="201">
        <f t="shared" si="118"/>
        <v>6</v>
      </c>
      <c r="UN8" s="199">
        <v>5</v>
      </c>
      <c r="UO8" s="200">
        <v>0</v>
      </c>
      <c r="UP8" s="200">
        <f>AVERAGE(3,3,3,2,3,2,3,3,3,3,3,3,3)</f>
        <v>2.8461538461538463</v>
      </c>
      <c r="UQ8" s="200">
        <v>3</v>
      </c>
      <c r="UR8" s="200">
        <v>1</v>
      </c>
      <c r="US8" s="201">
        <f t="shared" si="119"/>
        <v>6.8461538461538467</v>
      </c>
      <c r="UT8" s="200">
        <f>MEDIAN(3,3,3,2,3,2,3,3,3,3,3,3,3)</f>
        <v>3</v>
      </c>
      <c r="UU8">
        <f t="shared" si="120"/>
        <v>7</v>
      </c>
      <c r="UW8" s="199">
        <v>5</v>
      </c>
      <c r="UX8" s="200">
        <v>0</v>
      </c>
      <c r="UY8" s="200">
        <f>AVERAGE(3,2,3,3,3,3,3,3,3,2,3)</f>
        <v>2.8181818181818183</v>
      </c>
      <c r="UZ8" s="200">
        <v>3</v>
      </c>
      <c r="VA8" s="200">
        <v>2</v>
      </c>
      <c r="VB8" s="201">
        <f t="shared" si="121"/>
        <v>7.8181818181818183</v>
      </c>
      <c r="VC8" s="200">
        <f>MEDIAN(3,2,3,3,3,3,3,3,3,2,3)</f>
        <v>3</v>
      </c>
      <c r="VD8">
        <f t="shared" si="122"/>
        <v>8</v>
      </c>
      <c r="VF8" s="199">
        <v>5</v>
      </c>
      <c r="VG8" s="200">
        <v>2</v>
      </c>
      <c r="VH8" s="200">
        <f>AVERAGE(3,3,3,3,3,3,3,3,3)</f>
        <v>3</v>
      </c>
      <c r="VI8" s="200">
        <v>2</v>
      </c>
      <c r="VJ8" s="200">
        <v>1</v>
      </c>
      <c r="VK8" s="201">
        <f t="shared" si="123"/>
        <v>8</v>
      </c>
      <c r="VL8" s="200">
        <f>MEDIAN(3,3,3,3,3,3,3,3,3)</f>
        <v>3</v>
      </c>
      <c r="VM8">
        <f t="shared" si="124"/>
        <v>8</v>
      </c>
      <c r="VO8" s="199">
        <v>5</v>
      </c>
      <c r="VP8" s="200">
        <v>2</v>
      </c>
      <c r="VQ8" s="200">
        <f>AVERAGE(3)</f>
        <v>3</v>
      </c>
      <c r="VR8" s="200">
        <v>3</v>
      </c>
      <c r="VS8" s="200">
        <v>1</v>
      </c>
      <c r="VT8" s="201">
        <f t="shared" si="125"/>
        <v>9</v>
      </c>
      <c r="VU8" s="200">
        <f>MEDIAN(3)</f>
        <v>3</v>
      </c>
      <c r="VV8">
        <f t="shared" si="126"/>
        <v>9</v>
      </c>
    </row>
    <row r="9" spans="2:594" ht="15" thickBot="1" x14ac:dyDescent="0.4">
      <c r="B9" s="190">
        <v>6</v>
      </c>
      <c r="C9" s="16">
        <v>0</v>
      </c>
      <c r="D9" s="193">
        <f>AVERAGE(2,2,2,2,2,2,2,2)</f>
        <v>2</v>
      </c>
      <c r="E9" s="16">
        <v>2</v>
      </c>
      <c r="F9" s="16">
        <v>2</v>
      </c>
      <c r="G9" s="18">
        <f t="shared" si="0"/>
        <v>6</v>
      </c>
      <c r="H9" s="193">
        <f>MEDIAN(2,2,2,2,2,2,2,2)</f>
        <v>2</v>
      </c>
      <c r="I9" s="75">
        <f t="shared" si="1"/>
        <v>6</v>
      </c>
      <c r="K9" s="204">
        <v>6</v>
      </c>
      <c r="L9" s="198">
        <v>1</v>
      </c>
      <c r="M9" s="193">
        <f>AVERAGE(3,2,3,2,1,2,2,0)</f>
        <v>1.875</v>
      </c>
      <c r="N9" s="198">
        <v>2</v>
      </c>
      <c r="O9" s="49">
        <v>3</v>
      </c>
      <c r="P9" s="206">
        <f t="shared" si="2"/>
        <v>7.875</v>
      </c>
      <c r="Q9" s="193">
        <f>MEDIAN(3,2,3,2,1,2,2,0)</f>
        <v>2</v>
      </c>
      <c r="R9" s="75">
        <f t="shared" si="3"/>
        <v>8</v>
      </c>
      <c r="T9" s="190">
        <v>6</v>
      </c>
      <c r="U9" s="16">
        <v>1</v>
      </c>
      <c r="V9" s="16">
        <f>AVERAGE(3,3,2,3,3,2,3,3)</f>
        <v>2.75</v>
      </c>
      <c r="W9" s="16">
        <v>3</v>
      </c>
      <c r="X9" s="16">
        <v>3</v>
      </c>
      <c r="Y9" s="16">
        <f>MEDIAN(3,3,2,3,3,2,3,3)</f>
        <v>3</v>
      </c>
      <c r="Z9" s="18">
        <f t="shared" si="4"/>
        <v>10</v>
      </c>
      <c r="AB9" s="190">
        <v>6</v>
      </c>
      <c r="AC9" s="16">
        <v>1</v>
      </c>
      <c r="AD9" s="16">
        <f>AVERAGE(2,3)</f>
        <v>2.5</v>
      </c>
      <c r="AE9" s="16">
        <v>2</v>
      </c>
      <c r="AF9" s="16">
        <v>3</v>
      </c>
      <c r="AG9" s="16">
        <f>MEDIAN(2,3)</f>
        <v>2.5</v>
      </c>
      <c r="AH9" s="18">
        <f t="shared" si="5"/>
        <v>8.5</v>
      </c>
      <c r="AJ9" s="204">
        <v>6</v>
      </c>
      <c r="AK9" s="198">
        <v>0</v>
      </c>
      <c r="AL9" s="198">
        <f>AVERAGE(2,2,3,3,2,2,3,3)</f>
        <v>2.5</v>
      </c>
      <c r="AM9" s="198">
        <v>1</v>
      </c>
      <c r="AN9" s="198">
        <v>1</v>
      </c>
      <c r="AO9" s="205">
        <f t="shared" si="6"/>
        <v>4.5</v>
      </c>
      <c r="AP9" s="198">
        <f>MEDIAN(2,2,3,3,2,2,3,3)</f>
        <v>2.5</v>
      </c>
      <c r="AQ9" s="75">
        <f t="shared" si="7"/>
        <v>4.5</v>
      </c>
      <c r="AS9" s="190">
        <v>6</v>
      </c>
      <c r="AT9" s="16">
        <v>1</v>
      </c>
      <c r="AU9" s="16">
        <f>AVERAGE(3,2,3,2,2,2,3,2,2,2)</f>
        <v>2.2999999999999998</v>
      </c>
      <c r="AV9" s="16">
        <v>2</v>
      </c>
      <c r="AW9" s="16">
        <v>1</v>
      </c>
      <c r="AX9" s="18">
        <f t="shared" si="8"/>
        <v>6.3</v>
      </c>
      <c r="AY9" s="16">
        <f>MEDIAN(3,2,3,2,2,2,3,2,2,2)</f>
        <v>2</v>
      </c>
      <c r="AZ9" s="75">
        <f t="shared" si="9"/>
        <v>6</v>
      </c>
      <c r="BB9" s="190">
        <v>6</v>
      </c>
      <c r="BC9" s="16">
        <v>2</v>
      </c>
      <c r="BD9" s="16">
        <f>MEDIAN(3,3,2,2,2)</f>
        <v>2</v>
      </c>
      <c r="BE9" s="16">
        <v>1</v>
      </c>
      <c r="BF9" s="16">
        <v>1</v>
      </c>
      <c r="BG9" s="18">
        <f t="shared" si="10"/>
        <v>6</v>
      </c>
      <c r="BH9" s="16">
        <f>MEDIAN(3,3,2,2,2)</f>
        <v>2</v>
      </c>
      <c r="BI9" s="75">
        <f t="shared" si="11"/>
        <v>6</v>
      </c>
      <c r="BK9" s="204">
        <v>6</v>
      </c>
      <c r="BL9" s="198">
        <v>0</v>
      </c>
      <c r="BM9" s="193">
        <f>MEDIAN(2,2,2,3,3,3,2,2,3,3,2,2)</f>
        <v>2</v>
      </c>
      <c r="BN9" s="198">
        <v>2</v>
      </c>
      <c r="BO9" s="198">
        <v>0</v>
      </c>
      <c r="BP9" s="205">
        <f t="shared" si="12"/>
        <v>4</v>
      </c>
      <c r="BQ9" s="193">
        <f>MEDIAN(2,2,2,3,3,3,2,2,3,3,2,2)</f>
        <v>2</v>
      </c>
      <c r="BR9" s="75">
        <f t="shared" si="13"/>
        <v>4</v>
      </c>
      <c r="BT9" s="190">
        <v>6</v>
      </c>
      <c r="BU9" s="16">
        <v>2</v>
      </c>
      <c r="BV9" s="16">
        <f>MEDIAN(3,2,2,2,2,3,2,2,2)</f>
        <v>2</v>
      </c>
      <c r="BW9" s="16">
        <v>3</v>
      </c>
      <c r="BX9" s="16">
        <v>1</v>
      </c>
      <c r="BY9" s="18">
        <f t="shared" si="14"/>
        <v>8</v>
      </c>
      <c r="CB9" s="190">
        <v>6</v>
      </c>
      <c r="CC9" s="16">
        <v>0</v>
      </c>
      <c r="CD9" s="16">
        <f>MEDIAN(3,2,2,2,2,2)</f>
        <v>2</v>
      </c>
      <c r="CE9" s="16">
        <v>0</v>
      </c>
      <c r="CF9" s="16">
        <v>0</v>
      </c>
      <c r="CG9" s="18">
        <f t="shared" si="15"/>
        <v>2</v>
      </c>
      <c r="CJ9" s="190">
        <v>6</v>
      </c>
      <c r="CK9" s="16">
        <v>2</v>
      </c>
      <c r="CL9" s="16">
        <f>MEDIAN(3,2,2,3,2,3)</f>
        <v>2.5</v>
      </c>
      <c r="CM9" s="16">
        <v>2</v>
      </c>
      <c r="CN9" s="16">
        <v>2</v>
      </c>
      <c r="CO9" s="18">
        <f t="shared" si="16"/>
        <v>8.5</v>
      </c>
      <c r="CP9" s="16">
        <f>MEDIAN(3,2,2,3,2,3)</f>
        <v>2.5</v>
      </c>
      <c r="CQ9" s="75">
        <f t="shared" si="17"/>
        <v>8.5</v>
      </c>
      <c r="CS9" s="190">
        <v>6</v>
      </c>
      <c r="CT9" s="16">
        <v>3</v>
      </c>
      <c r="CU9" s="16">
        <f>MEDIAN(3,2,2,2,3,2,2)</f>
        <v>2</v>
      </c>
      <c r="CV9" s="16">
        <v>3</v>
      </c>
      <c r="CW9" s="16">
        <v>2</v>
      </c>
      <c r="CX9" s="18">
        <f t="shared" si="18"/>
        <v>10</v>
      </c>
      <c r="CY9" s="16">
        <f>MEDIAN(3,2,2,2,3,2,2)</f>
        <v>2</v>
      </c>
      <c r="CZ9" s="75">
        <f t="shared" si="19"/>
        <v>10</v>
      </c>
      <c r="DB9" s="204">
        <v>6</v>
      </c>
      <c r="DC9" s="198">
        <v>0</v>
      </c>
      <c r="DD9" s="193">
        <f>AVERAGE(3,2,2,2,2,2,2,2,2,2,2)</f>
        <v>2.0909090909090908</v>
      </c>
      <c r="DE9" s="198">
        <v>3</v>
      </c>
      <c r="DF9" s="198">
        <v>2</v>
      </c>
      <c r="DG9" s="205">
        <f t="shared" si="20"/>
        <v>7.0909090909090908</v>
      </c>
      <c r="DH9" s="193">
        <f>MEDIAN(3,2,2,2,2,2,2,2,2,2,2)</f>
        <v>2</v>
      </c>
      <c r="DI9" s="75">
        <f t="shared" si="21"/>
        <v>7</v>
      </c>
      <c r="DK9" s="204">
        <v>6</v>
      </c>
      <c r="DL9" s="198">
        <v>1</v>
      </c>
      <c r="DM9" s="193">
        <f>AVERAGE(2,3,2,3,3,3,3,3,2,3,2,2,3)</f>
        <v>2.6153846153846154</v>
      </c>
      <c r="DN9" s="198">
        <v>3</v>
      </c>
      <c r="DO9" s="198">
        <v>1</v>
      </c>
      <c r="DP9" s="205">
        <f t="shared" si="22"/>
        <v>7.615384615384615</v>
      </c>
      <c r="DQ9" s="193">
        <f>MEDIAN(2,3,2,3,3,3,3,3,2,3,2,2,3)</f>
        <v>3</v>
      </c>
      <c r="DR9" s="75">
        <f t="shared" si="23"/>
        <v>8</v>
      </c>
      <c r="DT9" s="204">
        <v>6</v>
      </c>
      <c r="DU9" s="198">
        <v>0</v>
      </c>
      <c r="DV9" s="193">
        <f>AVERAGE(1,2,2,3,2,2,2,3,3,3,3,2,3,2)</f>
        <v>2.3571428571428572</v>
      </c>
      <c r="DW9" s="198">
        <v>1</v>
      </c>
      <c r="DX9" s="198">
        <v>0</v>
      </c>
      <c r="DY9" s="205">
        <f t="shared" si="24"/>
        <v>3.3571428571428572</v>
      </c>
      <c r="DZ9" s="193">
        <f>MEDIAN(1,2,2,3,2,2,2,3,3,3,3,2,3,2)</f>
        <v>2</v>
      </c>
      <c r="EA9" s="75">
        <f t="shared" si="25"/>
        <v>3</v>
      </c>
      <c r="EC9" s="204">
        <v>6</v>
      </c>
      <c r="ED9" s="198">
        <v>1</v>
      </c>
      <c r="EE9" s="193">
        <f>AVERAGE(3,3,2,2,2,2,3)</f>
        <v>2.4285714285714284</v>
      </c>
      <c r="EF9" s="198">
        <v>3</v>
      </c>
      <c r="EG9" s="198">
        <v>1</v>
      </c>
      <c r="EH9" s="205">
        <f t="shared" si="26"/>
        <v>7.4285714285714288</v>
      </c>
      <c r="EI9" s="193">
        <f>MEDIAN(3,3,2,2,2,2,3)</f>
        <v>2</v>
      </c>
      <c r="EJ9" s="75">
        <f t="shared" si="27"/>
        <v>7</v>
      </c>
      <c r="EL9" s="190">
        <v>6</v>
      </c>
      <c r="EM9" s="16">
        <v>0</v>
      </c>
      <c r="EN9" s="16">
        <f>AVERAGE(2,2,2,2,2,2,2,2,2,2)</f>
        <v>2</v>
      </c>
      <c r="EO9" s="16">
        <v>2</v>
      </c>
      <c r="EP9" s="16">
        <v>0</v>
      </c>
      <c r="EQ9" s="18">
        <f t="shared" si="28"/>
        <v>4</v>
      </c>
      <c r="ER9" s="195">
        <f>MEDIAN(2,2,2,2,2,2,2,2,2,2)</f>
        <v>2</v>
      </c>
      <c r="ES9">
        <f t="shared" si="29"/>
        <v>4</v>
      </c>
      <c r="EU9" s="190">
        <v>6</v>
      </c>
      <c r="EV9" s="16">
        <v>0</v>
      </c>
      <c r="EW9" s="16">
        <f>AVERAGE(3,2,2,2,2)</f>
        <v>2.2000000000000002</v>
      </c>
      <c r="EX9" s="16">
        <v>1</v>
      </c>
      <c r="EY9" s="16">
        <v>0</v>
      </c>
      <c r="EZ9" s="18">
        <f t="shared" si="30"/>
        <v>3.2</v>
      </c>
      <c r="FA9" s="195">
        <f>MEDIAN(3,2,2,2,2)</f>
        <v>2</v>
      </c>
      <c r="FB9">
        <f t="shared" si="31"/>
        <v>3</v>
      </c>
      <c r="FD9" s="190">
        <v>6</v>
      </c>
      <c r="FE9" s="16">
        <v>0</v>
      </c>
      <c r="FF9" s="16">
        <f>AVERAGE(3,3,3,3,3,3,3,3,3)</f>
        <v>3</v>
      </c>
      <c r="FG9" s="16">
        <v>1</v>
      </c>
      <c r="FH9" s="16">
        <v>1</v>
      </c>
      <c r="FI9" s="18">
        <f t="shared" si="32"/>
        <v>5</v>
      </c>
      <c r="FJ9" s="195">
        <f>MEDIAN(3,3,3,3,3,3,3,3,3)</f>
        <v>3</v>
      </c>
      <c r="FK9">
        <f t="shared" si="33"/>
        <v>5</v>
      </c>
      <c r="FM9" s="190">
        <v>6</v>
      </c>
      <c r="FN9" s="16">
        <v>2</v>
      </c>
      <c r="FO9" s="16">
        <f>AVERAGE(3,2,3,3,3)</f>
        <v>2.8</v>
      </c>
      <c r="FP9" s="16">
        <v>2</v>
      </c>
      <c r="FQ9" s="16">
        <v>0</v>
      </c>
      <c r="FR9" s="18">
        <f t="shared" si="34"/>
        <v>6.8</v>
      </c>
      <c r="FS9" s="195">
        <f>MEDIAN(3,2,3,3,3)</f>
        <v>3</v>
      </c>
      <c r="FT9">
        <f t="shared" si="35"/>
        <v>7</v>
      </c>
      <c r="FV9" s="190">
        <v>6</v>
      </c>
      <c r="FW9" s="16">
        <v>0</v>
      </c>
      <c r="FX9" s="16">
        <f>MEDIAN(3,3,2,2,2,2,3,3,3,3,3,3,2)</f>
        <v>3</v>
      </c>
      <c r="FY9" s="16">
        <v>0</v>
      </c>
      <c r="FZ9" s="16">
        <v>1</v>
      </c>
      <c r="GA9" s="18">
        <f t="shared" si="36"/>
        <v>4</v>
      </c>
      <c r="GB9" s="16">
        <f>MEDIAN(3,3,2,2,2,2,3,3,3,3,3,3,2)</f>
        <v>3</v>
      </c>
      <c r="GC9">
        <f t="shared" si="37"/>
        <v>4</v>
      </c>
      <c r="GE9" s="190">
        <v>6</v>
      </c>
      <c r="GF9" s="16">
        <v>1</v>
      </c>
      <c r="GG9" s="16">
        <f>MEDIAN(3,2,3,2,3,3,3,3)</f>
        <v>3</v>
      </c>
      <c r="GH9" s="16">
        <v>0</v>
      </c>
      <c r="GI9" s="16">
        <v>0</v>
      </c>
      <c r="GJ9" s="18">
        <f t="shared" si="38"/>
        <v>4</v>
      </c>
      <c r="GK9" s="16">
        <f>MEDIAN(3,2,3,2,3,3,3,3)</f>
        <v>3</v>
      </c>
      <c r="GL9">
        <f t="shared" si="39"/>
        <v>4</v>
      </c>
      <c r="GN9" s="190">
        <v>6</v>
      </c>
      <c r="GO9" s="16">
        <v>0</v>
      </c>
      <c r="GP9" s="16">
        <f>AVERAGE(3,2,2,3,2,2,3,3)</f>
        <v>2.5</v>
      </c>
      <c r="GQ9" s="16">
        <v>0</v>
      </c>
      <c r="GR9" s="16">
        <v>0</v>
      </c>
      <c r="GS9" s="18">
        <f t="shared" si="40"/>
        <v>2.5</v>
      </c>
      <c r="GT9" s="196">
        <f>MEDIAN(3,2,2,3,2,2,3,3)</f>
        <v>2.5</v>
      </c>
      <c r="GU9" s="32">
        <f t="shared" si="41"/>
        <v>2.5</v>
      </c>
      <c r="GW9" s="190">
        <v>6</v>
      </c>
      <c r="GX9" s="16">
        <v>1</v>
      </c>
      <c r="GY9" s="16">
        <f>AVERAGE(3,2,3,2)</f>
        <v>2.5</v>
      </c>
      <c r="GZ9" s="16">
        <v>1</v>
      </c>
      <c r="HA9" s="16">
        <v>0</v>
      </c>
      <c r="HB9" s="18">
        <f t="shared" si="42"/>
        <v>4.5</v>
      </c>
      <c r="HC9" s="196">
        <f>MEDIAN(3,2,3,2)</f>
        <v>2.5</v>
      </c>
      <c r="HD9">
        <f t="shared" si="43"/>
        <v>4.5</v>
      </c>
      <c r="HF9" s="190">
        <v>6</v>
      </c>
      <c r="HG9" s="16">
        <v>1</v>
      </c>
      <c r="HH9" s="16">
        <f>AVERAGE(3,3,3,3,3,3)</f>
        <v>3</v>
      </c>
      <c r="HI9" s="16">
        <v>3</v>
      </c>
      <c r="HJ9" s="16">
        <v>1</v>
      </c>
      <c r="HK9" s="18">
        <f t="shared" si="44"/>
        <v>8</v>
      </c>
      <c r="HL9" s="16">
        <f>MEDIAN(3,3,3,3,3,3)</f>
        <v>3</v>
      </c>
      <c r="HM9">
        <f t="shared" si="45"/>
        <v>8</v>
      </c>
      <c r="HO9" s="190">
        <v>6</v>
      </c>
      <c r="HP9" s="16">
        <v>2</v>
      </c>
      <c r="HQ9" s="16">
        <f>AVERAGE(3,3,3,3,2,2,2)</f>
        <v>2.5714285714285716</v>
      </c>
      <c r="HR9" s="16">
        <v>3</v>
      </c>
      <c r="HS9" s="16">
        <v>1</v>
      </c>
      <c r="HT9" s="18">
        <f t="shared" si="46"/>
        <v>8.5714285714285712</v>
      </c>
      <c r="HU9" s="16">
        <f>MEDIAN(3,3,3,3,2,2,2)</f>
        <v>3</v>
      </c>
      <c r="HV9">
        <f t="shared" si="47"/>
        <v>9</v>
      </c>
      <c r="HX9" s="190">
        <v>6</v>
      </c>
      <c r="HY9" s="16">
        <v>0</v>
      </c>
      <c r="HZ9" s="16">
        <f>MEDIAN(3,2,3,3,3,3,3,2,2,3)</f>
        <v>3</v>
      </c>
      <c r="IA9" s="16">
        <v>2</v>
      </c>
      <c r="IB9" s="16">
        <v>2</v>
      </c>
      <c r="IC9" s="18">
        <f t="shared" si="48"/>
        <v>7</v>
      </c>
      <c r="ID9" s="16">
        <f>MEDIAN(3,2,3,3,3,3,3,2,2,3)</f>
        <v>3</v>
      </c>
      <c r="IE9">
        <f t="shared" si="49"/>
        <v>7</v>
      </c>
      <c r="IG9" s="190">
        <v>6</v>
      </c>
      <c r="IH9" s="16">
        <v>1</v>
      </c>
      <c r="II9" s="16">
        <f>MEDIAN(2,2,3,3,3,3,2,3,2,3,3,2)</f>
        <v>3</v>
      </c>
      <c r="IJ9" s="16">
        <v>2</v>
      </c>
      <c r="IK9" s="16">
        <v>1</v>
      </c>
      <c r="IL9" s="18">
        <f t="shared" si="50"/>
        <v>7</v>
      </c>
      <c r="IM9" s="16">
        <f>MEDIAN(2,2,3,3,3,3,2,3,2,3,3,2)</f>
        <v>3</v>
      </c>
      <c r="IN9">
        <f t="shared" si="51"/>
        <v>7</v>
      </c>
      <c r="IP9" s="190">
        <v>6</v>
      </c>
      <c r="IQ9" s="16">
        <v>0</v>
      </c>
      <c r="IR9" s="16">
        <f>AVERAGE(3,3,3)</f>
        <v>3</v>
      </c>
      <c r="IS9" s="16">
        <v>2</v>
      </c>
      <c r="IT9" s="16">
        <v>2</v>
      </c>
      <c r="IU9" s="18">
        <f t="shared" si="52"/>
        <v>7</v>
      </c>
      <c r="IV9" s="16">
        <f>MEDIAN(3,3,3)</f>
        <v>3</v>
      </c>
      <c r="IW9">
        <f t="shared" si="53"/>
        <v>7</v>
      </c>
      <c r="IY9" s="190">
        <v>6</v>
      </c>
      <c r="IZ9" s="16">
        <v>1</v>
      </c>
      <c r="JA9" s="16">
        <f>AVERAGE(3,3,3,3,3)</f>
        <v>3</v>
      </c>
      <c r="JB9" s="16">
        <v>2</v>
      </c>
      <c r="JC9" s="16">
        <v>1</v>
      </c>
      <c r="JD9" s="18">
        <f t="shared" si="54"/>
        <v>7</v>
      </c>
      <c r="JE9" s="16">
        <f>MEDIAN(3,3,3,3,3)</f>
        <v>3</v>
      </c>
      <c r="JF9">
        <f t="shared" si="55"/>
        <v>7</v>
      </c>
      <c r="JH9" s="190">
        <v>6</v>
      </c>
      <c r="JI9" s="16">
        <v>0</v>
      </c>
      <c r="JJ9" s="16">
        <f>MEDIAN(3,3,2,3,3)</f>
        <v>3</v>
      </c>
      <c r="JK9" s="16">
        <v>3</v>
      </c>
      <c r="JL9" s="16">
        <v>2</v>
      </c>
      <c r="JM9" s="18">
        <f t="shared" si="56"/>
        <v>8</v>
      </c>
      <c r="JN9" s="16">
        <f>MEDIAN(3,3,2,3,3)</f>
        <v>3</v>
      </c>
      <c r="JO9">
        <f t="shared" si="57"/>
        <v>8</v>
      </c>
      <c r="JQ9" s="190">
        <v>6</v>
      </c>
      <c r="JR9" s="16">
        <v>1</v>
      </c>
      <c r="JS9" s="16">
        <f>MEDIAN(2,2,3,2,2,2,3,3)</f>
        <v>2</v>
      </c>
      <c r="JT9" s="16">
        <v>3</v>
      </c>
      <c r="JU9" s="16">
        <v>1</v>
      </c>
      <c r="JV9" s="18">
        <f t="shared" si="58"/>
        <v>7</v>
      </c>
      <c r="JW9" s="16">
        <f>MEDIAN(2,2,3,2,2,2,3,3)</f>
        <v>2</v>
      </c>
      <c r="JX9">
        <f t="shared" si="59"/>
        <v>7</v>
      </c>
      <c r="JZ9" s="190">
        <v>6</v>
      </c>
      <c r="KA9" s="16">
        <v>0</v>
      </c>
      <c r="KB9" s="16">
        <f>AVERAGE(3,3,3,3,3,2)</f>
        <v>2.8333333333333335</v>
      </c>
      <c r="KC9" s="16">
        <v>0</v>
      </c>
      <c r="KD9" s="16">
        <v>1</v>
      </c>
      <c r="KE9" s="18">
        <f t="shared" si="60"/>
        <v>3.8333333333333335</v>
      </c>
      <c r="KF9" s="16">
        <f>MEDIAN(3,3,3,3,3,2)</f>
        <v>3</v>
      </c>
      <c r="KG9">
        <f t="shared" si="61"/>
        <v>4</v>
      </c>
      <c r="KI9" s="190">
        <v>6</v>
      </c>
      <c r="KJ9" s="16">
        <v>0</v>
      </c>
      <c r="KK9" s="16">
        <f>AVERAGE(3,3,3,2,2,3,3,3,2,2,2,3,3,3)</f>
        <v>2.6428571428571428</v>
      </c>
      <c r="KL9" s="16">
        <v>3</v>
      </c>
      <c r="KM9" s="16">
        <v>1</v>
      </c>
      <c r="KN9" s="18">
        <f t="shared" si="62"/>
        <v>6.6428571428571423</v>
      </c>
      <c r="KO9" s="16">
        <f>MEDIAN(3,3,3,2,2,3,3,3,2,2,2,3,3,3)</f>
        <v>3</v>
      </c>
      <c r="KP9">
        <f t="shared" si="63"/>
        <v>7</v>
      </c>
      <c r="KR9" s="190">
        <v>6</v>
      </c>
      <c r="KS9" s="16">
        <v>2</v>
      </c>
      <c r="KT9" s="16">
        <f>AVERAGE(2,2,3,2,3,2,2,2,3)</f>
        <v>2.3333333333333335</v>
      </c>
      <c r="KU9" s="16">
        <v>3</v>
      </c>
      <c r="KV9" s="16">
        <v>3</v>
      </c>
      <c r="KW9" s="18">
        <f t="shared" si="64"/>
        <v>10.333333333333334</v>
      </c>
      <c r="KX9" s="16">
        <f>MEDIAN(2,2,3,2,3,2,2,2,3)</f>
        <v>2</v>
      </c>
      <c r="KY9">
        <f t="shared" si="65"/>
        <v>10</v>
      </c>
      <c r="LA9" s="190">
        <v>6</v>
      </c>
      <c r="LB9" s="16">
        <v>1</v>
      </c>
      <c r="LC9" s="16">
        <f>AVERAGE(3,3,3,3,3,2)</f>
        <v>2.8333333333333335</v>
      </c>
      <c r="LD9" s="16">
        <v>2</v>
      </c>
      <c r="LE9" s="16">
        <v>2</v>
      </c>
      <c r="LF9" s="18">
        <f t="shared" si="66"/>
        <v>7.8333333333333339</v>
      </c>
      <c r="LG9" s="16">
        <f>MEDIAN(3,3,3,3,3,2)</f>
        <v>3</v>
      </c>
      <c r="LH9">
        <f t="shared" si="67"/>
        <v>8</v>
      </c>
      <c r="LK9" s="190">
        <v>6</v>
      </c>
      <c r="LL9" s="16">
        <v>0</v>
      </c>
      <c r="LM9" s="16">
        <f>AVERAGE(3,1,1,2,3,2,2)</f>
        <v>2</v>
      </c>
      <c r="LN9" s="16">
        <v>3</v>
      </c>
      <c r="LO9" s="16">
        <v>1</v>
      </c>
      <c r="LP9" s="18">
        <f t="shared" si="68"/>
        <v>6</v>
      </c>
      <c r="LQ9" s="16">
        <f>MEDIAN(3,1,1,2,3,2,2)</f>
        <v>2</v>
      </c>
      <c r="LR9">
        <f t="shared" si="69"/>
        <v>6</v>
      </c>
      <c r="LT9" s="190">
        <v>6</v>
      </c>
      <c r="LU9" s="16">
        <v>1</v>
      </c>
      <c r="LV9" s="16">
        <f>AVERAGE(3,2,3,3,3,3,3,2)</f>
        <v>2.75</v>
      </c>
      <c r="LW9" s="16">
        <v>1</v>
      </c>
      <c r="LX9" s="16">
        <v>1</v>
      </c>
      <c r="LY9" s="18">
        <f t="shared" si="70"/>
        <v>5.75</v>
      </c>
      <c r="LZ9" s="16">
        <f>MEDIAN(3,2,3,3,3,3,3,2)</f>
        <v>3</v>
      </c>
      <c r="MA9">
        <f t="shared" si="71"/>
        <v>6</v>
      </c>
      <c r="MC9" s="190">
        <v>6</v>
      </c>
      <c r="MD9" s="16">
        <v>1</v>
      </c>
      <c r="ME9" s="16">
        <f>AVERAGE(3,3,3,3,3,3,3,3,3,3,3,3,3)</f>
        <v>3</v>
      </c>
      <c r="MF9" s="16">
        <v>1</v>
      </c>
      <c r="MG9" s="16">
        <v>1</v>
      </c>
      <c r="MH9" s="18">
        <f t="shared" si="72"/>
        <v>6</v>
      </c>
      <c r="MI9" s="16">
        <f>MEDIAN(3,3,3,3,3,3,3,3,3,3,3,3,3)</f>
        <v>3</v>
      </c>
      <c r="MJ9">
        <f t="shared" si="73"/>
        <v>6</v>
      </c>
      <c r="ML9" s="190">
        <v>6</v>
      </c>
      <c r="MM9" s="16">
        <v>2</v>
      </c>
      <c r="MN9" s="16">
        <f>AVERAGE(3,3,3,3,3,3,3,3,3,3,3,3,3,3,2)</f>
        <v>2.9333333333333331</v>
      </c>
      <c r="MO9" s="16">
        <v>2</v>
      </c>
      <c r="MP9" s="16">
        <v>1</v>
      </c>
      <c r="MQ9" s="18">
        <f t="shared" si="74"/>
        <v>7.9333333333333336</v>
      </c>
      <c r="MR9" s="16">
        <f>MEDIAN(3,3,3,3,3,3,3,3,3,3,3,3,3,3,2)</f>
        <v>3</v>
      </c>
      <c r="MS9">
        <f t="shared" si="75"/>
        <v>8</v>
      </c>
      <c r="MU9" s="190">
        <v>6</v>
      </c>
      <c r="MV9" s="16">
        <v>0</v>
      </c>
      <c r="MW9" s="16">
        <f>MEDIAN(3,3,3,2,3,2,3,3,2,2)</f>
        <v>3</v>
      </c>
      <c r="MX9" s="16">
        <v>3</v>
      </c>
      <c r="MY9" s="16">
        <v>1</v>
      </c>
      <c r="MZ9" s="18">
        <f t="shared" si="76"/>
        <v>7</v>
      </c>
      <c r="NA9" s="16">
        <f>MEDIAN(3,3,3,2,3,2,3,3,2,2)</f>
        <v>3</v>
      </c>
      <c r="NB9">
        <f t="shared" si="77"/>
        <v>7</v>
      </c>
      <c r="ND9" s="190">
        <v>6</v>
      </c>
      <c r="NE9" s="16">
        <v>2</v>
      </c>
      <c r="NF9" s="16">
        <f>MEDIAN(2,3,2,2,2,2,3,2,3,3,2,2,2,2,3)</f>
        <v>2</v>
      </c>
      <c r="NG9" s="16">
        <v>0</v>
      </c>
      <c r="NH9" s="16">
        <v>1</v>
      </c>
      <c r="NI9" s="18">
        <f t="shared" si="78"/>
        <v>5</v>
      </c>
      <c r="NJ9" s="16">
        <f>MEDIAN(2,3,2,2,2,2,3,2,3,3,2,2,2,2,3)</f>
        <v>2</v>
      </c>
      <c r="NK9">
        <f t="shared" si="79"/>
        <v>5</v>
      </c>
      <c r="NM9" s="190">
        <v>6</v>
      </c>
      <c r="NN9" s="16">
        <v>2</v>
      </c>
      <c r="NO9" s="16">
        <f>AVERAGE(3,3,3,3,3,3,3,3,2)</f>
        <v>2.8888888888888888</v>
      </c>
      <c r="NP9" s="16">
        <v>3</v>
      </c>
      <c r="NQ9" s="16">
        <v>1</v>
      </c>
      <c r="NR9" s="18">
        <f t="shared" si="80"/>
        <v>8.8888888888888893</v>
      </c>
      <c r="NS9" s="16">
        <f>MEDIAN(3,3,3,3,3,3,3,3,2)</f>
        <v>3</v>
      </c>
      <c r="NT9">
        <f t="shared" si="81"/>
        <v>9</v>
      </c>
      <c r="NV9" s="190">
        <v>6</v>
      </c>
      <c r="NW9" s="16">
        <v>2</v>
      </c>
      <c r="NX9" s="16">
        <f>AVERAGE(3,3,3,3,3,3,3,3,3,3,3)</f>
        <v>3</v>
      </c>
      <c r="NY9" s="16">
        <v>3</v>
      </c>
      <c r="NZ9" s="16">
        <v>2</v>
      </c>
      <c r="OA9" s="18">
        <f t="shared" si="82"/>
        <v>10</v>
      </c>
      <c r="OB9" s="16">
        <f>MEDIAN(3,3,3,3,3,3,3,3,3,3,3)</f>
        <v>3</v>
      </c>
      <c r="OC9">
        <f t="shared" si="83"/>
        <v>10</v>
      </c>
      <c r="OE9" s="190">
        <v>6</v>
      </c>
      <c r="OF9" s="16">
        <v>0</v>
      </c>
      <c r="OG9" s="16">
        <f>MEDIAN(3,3,3,3,2,3,3)</f>
        <v>3</v>
      </c>
      <c r="OH9" s="16">
        <v>3</v>
      </c>
      <c r="OI9" s="16">
        <v>1</v>
      </c>
      <c r="OJ9" s="18">
        <f t="shared" si="84"/>
        <v>7</v>
      </c>
      <c r="OK9" s="16">
        <f>MEDIAN(3,3,3,3,2,3,3)</f>
        <v>3</v>
      </c>
      <c r="OL9">
        <f t="shared" si="85"/>
        <v>7</v>
      </c>
      <c r="ON9" s="190">
        <v>6</v>
      </c>
      <c r="OO9" s="16">
        <v>2</v>
      </c>
      <c r="OP9" s="16">
        <f>MEDIAN(2,2,2,3,3,3,3)</f>
        <v>3</v>
      </c>
      <c r="OQ9" s="16">
        <v>3</v>
      </c>
      <c r="OR9" s="16">
        <v>2</v>
      </c>
      <c r="OS9" s="18">
        <f t="shared" si="86"/>
        <v>10</v>
      </c>
      <c r="OT9" s="16">
        <f>MEDIAN(2,2,2,3,3,3,3)</f>
        <v>3</v>
      </c>
      <c r="OU9">
        <f t="shared" si="87"/>
        <v>10</v>
      </c>
      <c r="OW9" s="190">
        <v>6</v>
      </c>
      <c r="OX9" s="16">
        <v>1</v>
      </c>
      <c r="OY9" s="16">
        <f>AVERAGE(2)</f>
        <v>2</v>
      </c>
      <c r="OZ9" s="16">
        <v>2</v>
      </c>
      <c r="PA9" s="16">
        <v>2</v>
      </c>
      <c r="PB9" s="18">
        <f t="shared" si="88"/>
        <v>7</v>
      </c>
      <c r="PC9" s="16">
        <f>MEDIAN(2)</f>
        <v>2</v>
      </c>
      <c r="PD9">
        <f t="shared" si="89"/>
        <v>7</v>
      </c>
      <c r="PF9" s="190">
        <v>6</v>
      </c>
      <c r="PG9" s="16">
        <v>2</v>
      </c>
      <c r="PH9" s="16">
        <f>AVERAGE(3,3,2,3,3,3,2,3)</f>
        <v>2.75</v>
      </c>
      <c r="PI9" s="16">
        <v>3</v>
      </c>
      <c r="PJ9" s="16">
        <v>2</v>
      </c>
      <c r="PK9" s="18">
        <f t="shared" si="90"/>
        <v>9.75</v>
      </c>
      <c r="PL9" s="16">
        <f>MEDIAN(3,3,2,3,3,3,2,3)</f>
        <v>3</v>
      </c>
      <c r="PM9">
        <f t="shared" si="91"/>
        <v>10</v>
      </c>
      <c r="PO9" s="190">
        <v>6</v>
      </c>
      <c r="PP9" s="16">
        <v>1</v>
      </c>
      <c r="PQ9" s="16">
        <f>MEDIAN(3,3,3,2,3,3,3,3,3,3,3,2,3,3)</f>
        <v>3</v>
      </c>
      <c r="PR9" s="16">
        <v>0</v>
      </c>
      <c r="PS9" s="16">
        <v>1</v>
      </c>
      <c r="PT9" s="18">
        <f t="shared" si="92"/>
        <v>5</v>
      </c>
      <c r="PV9" s="190">
        <v>6</v>
      </c>
      <c r="PW9" s="16">
        <v>1</v>
      </c>
      <c r="PX9" s="16">
        <f>MEDIAN(1,2,2,2,1,2,1)</f>
        <v>2</v>
      </c>
      <c r="PY9" s="16">
        <v>1</v>
      </c>
      <c r="PZ9" s="16">
        <v>1</v>
      </c>
      <c r="QA9" s="18">
        <f t="shared" si="93"/>
        <v>5</v>
      </c>
      <c r="QB9" s="16">
        <f>MEDIAN(1,2,2,2,1,2,1)</f>
        <v>2</v>
      </c>
      <c r="QC9">
        <f t="shared" si="94"/>
        <v>5</v>
      </c>
      <c r="QE9" s="190">
        <v>6</v>
      </c>
      <c r="QF9" s="16">
        <v>0</v>
      </c>
      <c r="QG9" s="16">
        <f>MEDIAN(2,3,2,2)</f>
        <v>2</v>
      </c>
      <c r="QH9" s="16">
        <v>1</v>
      </c>
      <c r="QI9" s="16">
        <v>0</v>
      </c>
      <c r="QJ9" s="18">
        <f t="shared" si="95"/>
        <v>3</v>
      </c>
      <c r="QK9" s="16">
        <f>MEDIAN(2,3,2,2)</f>
        <v>2</v>
      </c>
      <c r="QL9">
        <f t="shared" si="96"/>
        <v>3</v>
      </c>
      <c r="QN9" s="190">
        <v>6</v>
      </c>
      <c r="QO9" s="16">
        <v>3</v>
      </c>
      <c r="QP9" s="16">
        <f>MEDIAN(3,3,3,2,3,3,2,3,3,3,2,3)</f>
        <v>3</v>
      </c>
      <c r="QQ9" s="16">
        <v>3</v>
      </c>
      <c r="QR9" s="16">
        <v>3</v>
      </c>
      <c r="QS9" s="18">
        <f t="shared" si="97"/>
        <v>12</v>
      </c>
      <c r="QT9" s="16">
        <f>MEDIAN(3,3,3,2,3,3,2,3,3,3,2,3)</f>
        <v>3</v>
      </c>
      <c r="QU9">
        <f t="shared" si="98"/>
        <v>12</v>
      </c>
      <c r="QW9" s="190">
        <v>6</v>
      </c>
      <c r="QX9" s="16">
        <v>0</v>
      </c>
      <c r="QY9" s="16">
        <f>AVERAGE(3,2,2)</f>
        <v>2.3333333333333335</v>
      </c>
      <c r="QZ9" s="16">
        <v>3</v>
      </c>
      <c r="RA9" s="16">
        <v>2</v>
      </c>
      <c r="RB9" s="18">
        <f t="shared" si="99"/>
        <v>7.3333333333333339</v>
      </c>
      <c r="RC9" s="16">
        <f>MEDIAN(3,2,2)</f>
        <v>2</v>
      </c>
      <c r="RD9">
        <f t="shared" si="100"/>
        <v>7</v>
      </c>
      <c r="RF9" s="190">
        <v>6</v>
      </c>
      <c r="RG9" s="16">
        <v>1</v>
      </c>
      <c r="RH9" s="16">
        <f>AVERAGE(2,3,3,3,3,2,3,3,3,3,2)</f>
        <v>2.7272727272727271</v>
      </c>
      <c r="RI9" s="16">
        <v>2</v>
      </c>
      <c r="RJ9" s="16">
        <v>1</v>
      </c>
      <c r="RK9" s="18">
        <f t="shared" si="101"/>
        <v>6.7272727272727266</v>
      </c>
      <c r="RL9" s="16">
        <f>MEDIAN(2,3,3,3,3,2,3,3,3,3,2)</f>
        <v>3</v>
      </c>
      <c r="RM9">
        <f t="shared" si="102"/>
        <v>7</v>
      </c>
      <c r="RO9" s="190">
        <v>6</v>
      </c>
      <c r="RP9" s="16">
        <v>0</v>
      </c>
      <c r="RQ9" s="16">
        <f>AVERAGE(2,2,3,3,3,3)</f>
        <v>2.6666666666666665</v>
      </c>
      <c r="RR9" s="16">
        <v>1</v>
      </c>
      <c r="RS9" s="16">
        <v>1</v>
      </c>
      <c r="RT9" s="18">
        <f t="shared" si="103"/>
        <v>4.6666666666666661</v>
      </c>
      <c r="RU9" s="16">
        <f>MEDIAN(2,2,3,3,3,3)</f>
        <v>3</v>
      </c>
      <c r="RV9">
        <f t="shared" si="104"/>
        <v>5</v>
      </c>
      <c r="RX9" s="190">
        <v>6</v>
      </c>
      <c r="RY9" s="16">
        <v>0</v>
      </c>
      <c r="RZ9" s="16">
        <f>AVERAGE(3,3,3,3,2,3,3,3,2,2)</f>
        <v>2.7</v>
      </c>
      <c r="SA9" s="16">
        <v>3</v>
      </c>
      <c r="SB9" s="16">
        <v>3</v>
      </c>
      <c r="SC9" s="18">
        <f t="shared" si="105"/>
        <v>8.6999999999999993</v>
      </c>
      <c r="SD9" s="16">
        <f>MEDIAN(3,3,3,3,2,3,3,3,2,2)</f>
        <v>3</v>
      </c>
      <c r="SE9">
        <f t="shared" si="106"/>
        <v>9</v>
      </c>
      <c r="SG9" s="190">
        <v>6</v>
      </c>
      <c r="SH9" s="16">
        <v>1</v>
      </c>
      <c r="SI9" s="16">
        <f>MEDIAN(2,2,2,3,3,3,2,3)</f>
        <v>2.5</v>
      </c>
      <c r="SJ9" s="16">
        <v>1</v>
      </c>
      <c r="SK9" s="16">
        <v>0</v>
      </c>
      <c r="SL9" s="18">
        <f t="shared" si="107"/>
        <v>4.5</v>
      </c>
      <c r="SM9" s="16">
        <f>MEDIAN(2,2,2,3,3,3,2,3)</f>
        <v>2.5</v>
      </c>
      <c r="SN9">
        <f t="shared" si="108"/>
        <v>4.5</v>
      </c>
      <c r="SP9" s="190">
        <v>6</v>
      </c>
      <c r="SQ9" s="16">
        <v>1</v>
      </c>
      <c r="SR9" s="16">
        <f>MEDIAN(3,3,3,3,3,3,2,3,2,3,2,3)</f>
        <v>3</v>
      </c>
      <c r="SS9" s="16">
        <v>1</v>
      </c>
      <c r="ST9" s="16">
        <v>0</v>
      </c>
      <c r="SU9" s="18">
        <f t="shared" si="109"/>
        <v>5</v>
      </c>
      <c r="SV9" s="16">
        <f>MEDIAN(3,3,3,3,3,3,2,3,2,3,2,3)</f>
        <v>3</v>
      </c>
      <c r="SW9">
        <f t="shared" si="110"/>
        <v>5</v>
      </c>
      <c r="SY9" s="190">
        <v>6</v>
      </c>
      <c r="SZ9" s="16">
        <v>0</v>
      </c>
      <c r="TA9" s="16">
        <f>AVERAGE(3,2,2,2)</f>
        <v>2.25</v>
      </c>
      <c r="TB9" s="16">
        <v>1</v>
      </c>
      <c r="TC9" s="16">
        <v>1</v>
      </c>
      <c r="TD9" s="18">
        <f t="shared" si="111"/>
        <v>4.25</v>
      </c>
      <c r="TE9" s="16">
        <f>MEDIAN(3,2,2,2)</f>
        <v>2</v>
      </c>
      <c r="TF9">
        <f t="shared" si="112"/>
        <v>4</v>
      </c>
      <c r="TH9" s="190">
        <v>6</v>
      </c>
      <c r="TI9" s="16">
        <v>2</v>
      </c>
      <c r="TJ9" s="16">
        <f>MEDIAN(3,3,2,3,3,2,2,3,3,2,2)</f>
        <v>3</v>
      </c>
      <c r="TK9" s="16">
        <v>3</v>
      </c>
      <c r="TL9" s="16">
        <v>2</v>
      </c>
      <c r="TM9" s="18">
        <f t="shared" si="113"/>
        <v>10</v>
      </c>
      <c r="TN9" s="16">
        <f>MEDIAN(3,3,2,3,3,2,2,3,3,2,2)</f>
        <v>3</v>
      </c>
      <c r="TO9">
        <f t="shared" si="114"/>
        <v>10</v>
      </c>
      <c r="TQ9" s="190">
        <v>6</v>
      </c>
      <c r="TR9" s="16">
        <v>2</v>
      </c>
      <c r="TS9" s="16">
        <f>MEDIAN(3,2,3,3,3,2,3,3,2,2)</f>
        <v>3</v>
      </c>
      <c r="TT9" s="16">
        <v>3</v>
      </c>
      <c r="TU9" s="16">
        <v>2</v>
      </c>
      <c r="TV9" s="18">
        <f t="shared" si="115"/>
        <v>10</v>
      </c>
      <c r="TX9" s="190">
        <v>6</v>
      </c>
      <c r="TY9" s="16">
        <v>1</v>
      </c>
      <c r="TZ9" s="16">
        <f>MEDIAN(3,2,2,2,2,2,3,3,2,3,2,3)</f>
        <v>2</v>
      </c>
      <c r="UA9" s="16">
        <v>2</v>
      </c>
      <c r="UB9" s="16">
        <v>1</v>
      </c>
      <c r="UC9" s="18">
        <f t="shared" si="116"/>
        <v>6</v>
      </c>
      <c r="UD9" s="16">
        <f>MEDIAN(3,2,2,2,2,2,3,3,2,3,2,3)</f>
        <v>2</v>
      </c>
      <c r="UE9">
        <f t="shared" si="117"/>
        <v>6</v>
      </c>
      <c r="UG9" s="190">
        <v>6</v>
      </c>
      <c r="UH9" s="16">
        <v>2</v>
      </c>
      <c r="UI9" s="16">
        <f>MEDIAN(3,2,3,3)</f>
        <v>3</v>
      </c>
      <c r="UJ9" s="16">
        <v>3</v>
      </c>
      <c r="UK9" s="16">
        <v>1</v>
      </c>
      <c r="UL9" s="18">
        <f t="shared" si="118"/>
        <v>9</v>
      </c>
      <c r="UN9" s="190">
        <v>6</v>
      </c>
      <c r="UO9" s="16">
        <v>2</v>
      </c>
      <c r="UP9" s="16">
        <f>AVERAGE(3,2,1,2,2,2,2,2,2)</f>
        <v>2</v>
      </c>
      <c r="UQ9" s="16">
        <v>3</v>
      </c>
      <c r="UR9" s="16">
        <v>2</v>
      </c>
      <c r="US9" s="18">
        <f t="shared" si="119"/>
        <v>9</v>
      </c>
      <c r="UT9" s="16">
        <f>MEDIAN(3,2,1,2,2,2,2,2,2)</f>
        <v>2</v>
      </c>
      <c r="UU9">
        <f t="shared" si="120"/>
        <v>9</v>
      </c>
      <c r="UW9" s="190">
        <v>6</v>
      </c>
      <c r="UX9" s="16">
        <v>1</v>
      </c>
      <c r="UY9" s="16">
        <f>AVERAGE(3,3,3,3,3,3,2,2,3,3,2,3)</f>
        <v>2.75</v>
      </c>
      <c r="UZ9" s="16">
        <v>1</v>
      </c>
      <c r="VA9" s="16">
        <v>1</v>
      </c>
      <c r="VB9" s="18">
        <f t="shared" si="121"/>
        <v>5.75</v>
      </c>
      <c r="VC9" s="16">
        <f>MEDIAN(3,3,3,3,3,3,2,2,3,3,2,3)</f>
        <v>3</v>
      </c>
      <c r="VD9">
        <f t="shared" si="122"/>
        <v>6</v>
      </c>
      <c r="VF9" s="190">
        <v>6</v>
      </c>
      <c r="VG9" s="16">
        <v>1</v>
      </c>
      <c r="VH9" s="16">
        <f>AVERAGE(2,2,2,3)</f>
        <v>2.25</v>
      </c>
      <c r="VI9" s="16">
        <v>2</v>
      </c>
      <c r="VJ9" s="16">
        <v>0</v>
      </c>
      <c r="VK9" s="18">
        <f t="shared" si="123"/>
        <v>5.25</v>
      </c>
      <c r="VL9" s="16">
        <f>MEDIAN(2,2,2,3)</f>
        <v>2</v>
      </c>
      <c r="VM9">
        <f t="shared" si="124"/>
        <v>5</v>
      </c>
      <c r="VO9" s="190">
        <v>6</v>
      </c>
      <c r="VP9" s="16">
        <v>2</v>
      </c>
      <c r="VQ9" s="16">
        <f>AVERAGE(3,3,3,2)</f>
        <v>2.75</v>
      </c>
      <c r="VR9" s="16">
        <v>3</v>
      </c>
      <c r="VS9" s="16">
        <v>2</v>
      </c>
      <c r="VT9" s="18">
        <f t="shared" si="125"/>
        <v>9.75</v>
      </c>
      <c r="VU9" s="16">
        <f>MEDIAN(3,3,3,2)</f>
        <v>3</v>
      </c>
      <c r="VV9">
        <f t="shared" si="126"/>
        <v>10</v>
      </c>
    </row>
    <row r="10" spans="2:594" ht="15" thickBot="1" x14ac:dyDescent="0.4">
      <c r="B10" s="165">
        <v>7</v>
      </c>
      <c r="C10" s="32">
        <v>0</v>
      </c>
      <c r="D10" s="32">
        <f>AVERAGE(3,2)</f>
        <v>2.5</v>
      </c>
      <c r="E10" s="32">
        <v>0</v>
      </c>
      <c r="F10" s="32">
        <v>0</v>
      </c>
      <c r="G10" s="33">
        <f t="shared" si="0"/>
        <v>2.5</v>
      </c>
      <c r="H10" s="32">
        <f>MEDIAN(3,2)</f>
        <v>2.5</v>
      </c>
      <c r="I10" s="75">
        <f t="shared" si="1"/>
        <v>2.5</v>
      </c>
      <c r="K10" s="165">
        <v>7</v>
      </c>
      <c r="L10" s="32">
        <v>1</v>
      </c>
      <c r="M10" s="32">
        <f>AVERAGE(2,2,2,3,2,2)</f>
        <v>2.1666666666666665</v>
      </c>
      <c r="N10" s="32">
        <v>3</v>
      </c>
      <c r="O10" s="32">
        <v>2</v>
      </c>
      <c r="P10" s="33">
        <f t="shared" si="2"/>
        <v>8.1666666666666661</v>
      </c>
      <c r="Q10" s="32">
        <f>MEDIAN(2,2,2,3,2,2)</f>
        <v>2</v>
      </c>
      <c r="R10" s="75">
        <f t="shared" si="3"/>
        <v>8</v>
      </c>
      <c r="T10" s="165">
        <v>7</v>
      </c>
      <c r="U10" s="32">
        <v>1</v>
      </c>
      <c r="V10" s="32">
        <f>AVERAGE(3,3,3,3,2,3,3)</f>
        <v>2.8571428571428572</v>
      </c>
      <c r="W10" s="32">
        <v>3</v>
      </c>
      <c r="X10" s="32">
        <v>1</v>
      </c>
      <c r="Y10" s="32">
        <f>MEDIAN(3,3,3,3,2,3,3)</f>
        <v>3</v>
      </c>
      <c r="Z10" s="18">
        <f t="shared" si="4"/>
        <v>8</v>
      </c>
      <c r="AB10" s="165">
        <v>7</v>
      </c>
      <c r="AC10" s="32">
        <v>1</v>
      </c>
      <c r="AD10" s="32">
        <f>AVERAGE(2,3,2,2,2,2,3)</f>
        <v>2.2857142857142856</v>
      </c>
      <c r="AE10" s="32">
        <v>2</v>
      </c>
      <c r="AF10" s="32">
        <v>2</v>
      </c>
      <c r="AG10" s="32">
        <f>MEDIAN(2,3,2,2,2,2,3)</f>
        <v>2</v>
      </c>
      <c r="AH10" s="18">
        <f t="shared" si="5"/>
        <v>7</v>
      </c>
      <c r="AJ10" s="165">
        <v>7</v>
      </c>
      <c r="AK10" s="32">
        <v>1</v>
      </c>
      <c r="AL10" s="32">
        <f>AVERAGE(3,2,2,2,3,3,2)</f>
        <v>2.4285714285714284</v>
      </c>
      <c r="AM10" s="32">
        <v>1</v>
      </c>
      <c r="AN10" s="32">
        <v>1</v>
      </c>
      <c r="AO10" s="33">
        <f t="shared" si="6"/>
        <v>5.4285714285714288</v>
      </c>
      <c r="AP10" s="32">
        <f>MEDIAN(3,2,2,2,3,3,2)</f>
        <v>2</v>
      </c>
      <c r="AQ10" s="75">
        <f t="shared" si="7"/>
        <v>5</v>
      </c>
      <c r="AS10" s="165">
        <v>7</v>
      </c>
      <c r="AT10" s="32">
        <v>1</v>
      </c>
      <c r="AU10" s="32">
        <f>AVERAGE(1,2,2,2,2,3,2,2,2,2)</f>
        <v>2</v>
      </c>
      <c r="AV10" s="32">
        <v>1</v>
      </c>
      <c r="AW10" s="32">
        <v>1</v>
      </c>
      <c r="AX10" s="33">
        <f t="shared" si="8"/>
        <v>5</v>
      </c>
      <c r="AY10" s="32">
        <f>MEDIAN(1,2,2,2,2,3,2,2,2,2)</f>
        <v>2</v>
      </c>
      <c r="AZ10" s="75">
        <f t="shared" si="9"/>
        <v>5</v>
      </c>
      <c r="BB10" s="165">
        <v>7</v>
      </c>
      <c r="BC10" s="32">
        <v>1</v>
      </c>
      <c r="BD10" s="32">
        <f>MEDIAN(2,3,3,3,3,3,3)</f>
        <v>3</v>
      </c>
      <c r="BE10" s="32">
        <v>1</v>
      </c>
      <c r="BF10" s="32">
        <v>1</v>
      </c>
      <c r="BG10" s="33">
        <f t="shared" si="10"/>
        <v>6</v>
      </c>
      <c r="BH10" s="32">
        <f>MEDIAN(2,3,3,3,3,3,3)</f>
        <v>3</v>
      </c>
      <c r="BI10" s="75">
        <f t="shared" si="11"/>
        <v>6</v>
      </c>
      <c r="BK10" s="165">
        <v>7</v>
      </c>
      <c r="BL10" s="32">
        <v>1</v>
      </c>
      <c r="BM10" s="32">
        <f>MEDIAN(3,2,2,3,3,2,3,2,3,2,2,3,2)</f>
        <v>2</v>
      </c>
      <c r="BN10" s="32">
        <v>2</v>
      </c>
      <c r="BO10" s="32">
        <v>1</v>
      </c>
      <c r="BP10" s="33">
        <f t="shared" si="12"/>
        <v>6</v>
      </c>
      <c r="BQ10" s="32">
        <f>MEDIAN(3,2,2,3,3,2,3,2,3,2,2,3,2)</f>
        <v>2</v>
      </c>
      <c r="BR10" s="75">
        <f t="shared" si="13"/>
        <v>6</v>
      </c>
      <c r="BT10" s="165">
        <v>7</v>
      </c>
      <c r="BU10" s="32">
        <v>3</v>
      </c>
      <c r="BV10" s="32">
        <f>MEDIAN(2,2,2,2,1,2,2,2)</f>
        <v>2</v>
      </c>
      <c r="BW10" s="32">
        <v>2</v>
      </c>
      <c r="BX10" s="32">
        <v>1</v>
      </c>
      <c r="BY10" s="33">
        <f t="shared" si="14"/>
        <v>8</v>
      </c>
      <c r="CB10" s="165">
        <v>7</v>
      </c>
      <c r="CC10" s="32">
        <v>1</v>
      </c>
      <c r="CD10" s="32">
        <f>MEDIAN(3,2,2,2)</f>
        <v>2</v>
      </c>
      <c r="CE10" s="32">
        <v>3</v>
      </c>
      <c r="CF10" s="32">
        <v>2</v>
      </c>
      <c r="CG10" s="33">
        <f t="shared" si="15"/>
        <v>8</v>
      </c>
      <c r="CJ10" s="165">
        <v>7</v>
      </c>
      <c r="CK10" s="32">
        <v>1</v>
      </c>
      <c r="CL10" s="32">
        <f>MEDIAN(3,2,3,2,3,3)</f>
        <v>3</v>
      </c>
      <c r="CM10" s="32">
        <v>2</v>
      </c>
      <c r="CN10" s="32">
        <v>1</v>
      </c>
      <c r="CO10" s="33">
        <f t="shared" si="16"/>
        <v>7</v>
      </c>
      <c r="CP10" s="32">
        <f>MEDIAN(3,2,3,2,3,3)</f>
        <v>3</v>
      </c>
      <c r="CQ10" s="75">
        <f t="shared" si="17"/>
        <v>7</v>
      </c>
      <c r="CS10" s="165">
        <v>7</v>
      </c>
      <c r="CT10" s="32">
        <v>3</v>
      </c>
      <c r="CU10" s="32">
        <f>MEDIAN(3,3,3,3,3,2,2)</f>
        <v>3</v>
      </c>
      <c r="CV10" s="32">
        <v>2</v>
      </c>
      <c r="CW10" s="32">
        <v>3</v>
      </c>
      <c r="CX10" s="33">
        <f t="shared" si="18"/>
        <v>11</v>
      </c>
      <c r="CY10" s="32">
        <f>MEDIAN(3,3,3,3,3,2,2)</f>
        <v>3</v>
      </c>
      <c r="CZ10" s="75">
        <f t="shared" si="19"/>
        <v>11</v>
      </c>
      <c r="DB10" s="165">
        <v>7</v>
      </c>
      <c r="DC10" s="32">
        <v>0</v>
      </c>
      <c r="DD10" s="32">
        <f>AVERAGE(3,3,3)</f>
        <v>3</v>
      </c>
      <c r="DE10" s="32">
        <v>3</v>
      </c>
      <c r="DF10" s="32">
        <v>2</v>
      </c>
      <c r="DG10" s="33">
        <f t="shared" si="20"/>
        <v>8</v>
      </c>
      <c r="DH10" s="32">
        <f>MEDIAN(3,3,3)</f>
        <v>3</v>
      </c>
      <c r="DI10" s="75">
        <f t="shared" si="21"/>
        <v>8</v>
      </c>
      <c r="DK10" s="165">
        <v>7</v>
      </c>
      <c r="DL10" s="32">
        <v>0</v>
      </c>
      <c r="DM10" s="32">
        <f>AVERAGE(3,3,3,3,3,2,2,2,2,2,3,2)</f>
        <v>2.5</v>
      </c>
      <c r="DN10" s="32">
        <v>3</v>
      </c>
      <c r="DO10" s="32">
        <v>1</v>
      </c>
      <c r="DP10" s="33">
        <f t="shared" si="22"/>
        <v>6.5</v>
      </c>
      <c r="DQ10" s="32">
        <f>MEDIAN(3,3,3,3,3,2,2,2,2,2,3,2)</f>
        <v>2.5</v>
      </c>
      <c r="DR10" s="75">
        <f t="shared" si="23"/>
        <v>6.5</v>
      </c>
      <c r="DT10" s="165">
        <v>7</v>
      </c>
      <c r="DU10" s="32">
        <v>1</v>
      </c>
      <c r="DV10" s="32">
        <f>AVERAGE(2,3,2,2,2,2,2,3,3,2)</f>
        <v>2.2999999999999998</v>
      </c>
      <c r="DW10" s="32">
        <v>1</v>
      </c>
      <c r="DX10" s="32">
        <v>1</v>
      </c>
      <c r="DY10" s="33">
        <f t="shared" si="24"/>
        <v>5.3</v>
      </c>
      <c r="DZ10" s="32">
        <f>MEDIAN(2,3,2,2,2,2,2,3,3,2)</f>
        <v>2</v>
      </c>
      <c r="EA10" s="75">
        <f t="shared" si="25"/>
        <v>5</v>
      </c>
      <c r="EC10" s="165">
        <v>7</v>
      </c>
      <c r="ED10" s="32">
        <v>1</v>
      </c>
      <c r="EE10" s="32">
        <f>AVERAGE(2,2,3,3)</f>
        <v>2.5</v>
      </c>
      <c r="EF10" s="32">
        <v>2</v>
      </c>
      <c r="EG10" s="32">
        <v>2</v>
      </c>
      <c r="EH10" s="33">
        <f t="shared" si="26"/>
        <v>7.5</v>
      </c>
      <c r="EI10" s="32">
        <f>MEDIAN(2,2,3,3)</f>
        <v>2.5</v>
      </c>
      <c r="EJ10" s="75">
        <f t="shared" si="27"/>
        <v>7.5</v>
      </c>
      <c r="EL10" s="165">
        <v>7</v>
      </c>
      <c r="EM10" s="32">
        <v>1</v>
      </c>
      <c r="EN10" s="32">
        <f>AVERAGE(2,2,2,2,2,2,2,2,2,2)</f>
        <v>2</v>
      </c>
      <c r="EO10" s="32">
        <v>3</v>
      </c>
      <c r="EP10" s="32">
        <v>2</v>
      </c>
      <c r="EQ10" s="33">
        <f t="shared" si="28"/>
        <v>8</v>
      </c>
      <c r="ER10" s="197">
        <f>MEDIAN(2,2,2,2,2,2,2,2,2,2)</f>
        <v>2</v>
      </c>
      <c r="ES10">
        <f t="shared" si="29"/>
        <v>8</v>
      </c>
      <c r="EU10" s="165">
        <v>7</v>
      </c>
      <c r="EV10" s="32">
        <v>1</v>
      </c>
      <c r="EW10" s="32">
        <f>AVERAGE(2,3,2,2,2,3,2,3,2,2,2,2,2)</f>
        <v>2.2307692307692308</v>
      </c>
      <c r="EX10" s="32">
        <v>1</v>
      </c>
      <c r="EY10" s="32">
        <v>1</v>
      </c>
      <c r="EZ10" s="33">
        <f t="shared" si="30"/>
        <v>5.2307692307692308</v>
      </c>
      <c r="FA10" s="197">
        <f>MEDIAN(2,3,2,2,2,3,2,3,2,2,2,2,2)</f>
        <v>2</v>
      </c>
      <c r="FB10">
        <f t="shared" si="31"/>
        <v>5</v>
      </c>
      <c r="FD10" s="165">
        <v>7</v>
      </c>
      <c r="FE10" s="32">
        <v>1</v>
      </c>
      <c r="FF10" s="32">
        <f>AVERAGE(3,2,2,3)</f>
        <v>2.5</v>
      </c>
      <c r="FG10" s="32">
        <v>1</v>
      </c>
      <c r="FH10" s="32">
        <v>0</v>
      </c>
      <c r="FI10" s="33">
        <f t="shared" si="32"/>
        <v>4.5</v>
      </c>
      <c r="FJ10" s="197">
        <f>MEDIAN(3,2,2,3)</f>
        <v>2.5</v>
      </c>
      <c r="FK10">
        <f t="shared" si="33"/>
        <v>4.5</v>
      </c>
      <c r="FM10" s="165">
        <v>7</v>
      </c>
      <c r="FN10" s="32">
        <v>1</v>
      </c>
      <c r="FO10" s="32">
        <f>AVERAGE(2,3,2,3,3,3,3,3,2,3)</f>
        <v>2.7</v>
      </c>
      <c r="FP10" s="32">
        <v>2</v>
      </c>
      <c r="FQ10" s="32">
        <v>1</v>
      </c>
      <c r="FR10" s="33">
        <f t="shared" si="34"/>
        <v>6.7</v>
      </c>
      <c r="FS10" s="197">
        <f>MEDIAN(2,3,2,3,3,3,3,3,2,3)</f>
        <v>3</v>
      </c>
      <c r="FT10">
        <f t="shared" si="35"/>
        <v>7</v>
      </c>
      <c r="FV10" s="165">
        <v>7</v>
      </c>
      <c r="FW10" s="32">
        <v>1</v>
      </c>
      <c r="FX10" s="32">
        <f>MEDIAN(3,3,3)</f>
        <v>3</v>
      </c>
      <c r="FY10" s="32">
        <v>0</v>
      </c>
      <c r="FZ10" s="32">
        <v>1</v>
      </c>
      <c r="GA10" s="33">
        <f t="shared" si="36"/>
        <v>5</v>
      </c>
      <c r="GB10" s="32">
        <f>MEDIAN(3,3,3)</f>
        <v>3</v>
      </c>
      <c r="GC10">
        <f t="shared" si="37"/>
        <v>5</v>
      </c>
      <c r="GE10" s="165">
        <v>7</v>
      </c>
      <c r="GF10" s="32">
        <v>1</v>
      </c>
      <c r="GG10" s="32">
        <f>MEDIAN(3,2,3)</f>
        <v>3</v>
      </c>
      <c r="GH10" s="32">
        <v>0</v>
      </c>
      <c r="GI10" s="32">
        <v>0</v>
      </c>
      <c r="GJ10" s="18">
        <f t="shared" si="38"/>
        <v>4</v>
      </c>
      <c r="GK10" s="32">
        <f>MEDIAN(3,2,3)</f>
        <v>3</v>
      </c>
      <c r="GL10">
        <f t="shared" si="39"/>
        <v>4</v>
      </c>
      <c r="GN10" s="165">
        <v>7</v>
      </c>
      <c r="GO10" s="32">
        <v>0</v>
      </c>
      <c r="GP10" s="32">
        <f>AVERAGE(3,3,3,2,2,3,2,3,2,3,3)</f>
        <v>2.6363636363636362</v>
      </c>
      <c r="GQ10" s="32">
        <v>0</v>
      </c>
      <c r="GR10" s="32">
        <v>1</v>
      </c>
      <c r="GS10" s="33">
        <f t="shared" si="40"/>
        <v>3.6363636363636362</v>
      </c>
      <c r="GT10" s="196">
        <f>MEDIAN(3,3,3,2,2,3,2,3,2,3,3)</f>
        <v>3</v>
      </c>
      <c r="GU10" s="32">
        <f t="shared" si="41"/>
        <v>4</v>
      </c>
      <c r="GW10" s="165">
        <v>7</v>
      </c>
      <c r="GX10" s="32">
        <v>1</v>
      </c>
      <c r="GY10" s="32">
        <f>AVERAGE(3,3,2,3)</f>
        <v>2.75</v>
      </c>
      <c r="GZ10" s="32">
        <v>0</v>
      </c>
      <c r="HA10" s="32">
        <v>1</v>
      </c>
      <c r="HB10" s="33">
        <f t="shared" si="42"/>
        <v>4.75</v>
      </c>
      <c r="HC10" s="196">
        <f>MEDIAN(3,3,2,3)</f>
        <v>3</v>
      </c>
      <c r="HD10">
        <f t="shared" si="43"/>
        <v>5</v>
      </c>
      <c r="HF10" s="165">
        <v>7</v>
      </c>
      <c r="HG10" s="32">
        <v>0</v>
      </c>
      <c r="HH10" s="32">
        <f>AVERAGE(3,3,3,3)</f>
        <v>3</v>
      </c>
      <c r="HI10" s="32">
        <v>3</v>
      </c>
      <c r="HJ10" s="32">
        <v>1</v>
      </c>
      <c r="HK10" s="33">
        <f t="shared" si="44"/>
        <v>7</v>
      </c>
      <c r="HL10" s="32">
        <f>MEDIAN(3,3,3,3)</f>
        <v>3</v>
      </c>
      <c r="HM10">
        <f t="shared" si="45"/>
        <v>7</v>
      </c>
      <c r="HO10" s="165">
        <v>7</v>
      </c>
      <c r="HP10" s="32">
        <v>1</v>
      </c>
      <c r="HQ10" s="32">
        <f>AVERAGE(2,2,1,1,2)</f>
        <v>1.6</v>
      </c>
      <c r="HR10" s="32">
        <v>3</v>
      </c>
      <c r="HS10" s="32">
        <v>3</v>
      </c>
      <c r="HT10" s="33">
        <f t="shared" si="46"/>
        <v>8.6</v>
      </c>
      <c r="HU10" s="32">
        <f>MEDIAN(2,2,1,1,2)</f>
        <v>2</v>
      </c>
      <c r="HV10">
        <f t="shared" si="47"/>
        <v>9</v>
      </c>
      <c r="HX10" s="165">
        <v>7</v>
      </c>
      <c r="HY10" s="32">
        <v>1</v>
      </c>
      <c r="HZ10" s="32">
        <f>MEDIAN(3,3,3,2,3,3,2,2)</f>
        <v>3</v>
      </c>
      <c r="IA10" s="32">
        <v>3</v>
      </c>
      <c r="IB10" s="32">
        <v>2</v>
      </c>
      <c r="IC10" s="33">
        <f t="shared" si="48"/>
        <v>9</v>
      </c>
      <c r="ID10" s="32">
        <f>MEDIAN(3,3,3,2,3,3,2,2)</f>
        <v>3</v>
      </c>
      <c r="IE10">
        <f t="shared" si="49"/>
        <v>9</v>
      </c>
      <c r="IG10" s="165">
        <v>7</v>
      </c>
      <c r="IH10" s="32">
        <v>0</v>
      </c>
      <c r="II10" s="32">
        <f>MEDIAN(2,3,3,3,3,3)</f>
        <v>3</v>
      </c>
      <c r="IJ10" s="32">
        <v>0</v>
      </c>
      <c r="IK10" s="32">
        <v>0</v>
      </c>
      <c r="IL10" s="33">
        <f t="shared" si="50"/>
        <v>3</v>
      </c>
      <c r="IM10" s="32">
        <f>MEDIAN(2,3,3,3,3,3)</f>
        <v>3</v>
      </c>
      <c r="IN10">
        <f t="shared" si="51"/>
        <v>3</v>
      </c>
      <c r="IP10" s="165">
        <v>7</v>
      </c>
      <c r="IQ10" s="32">
        <v>2</v>
      </c>
      <c r="IR10" s="32">
        <f>AVERAGE(3,3,3,2,2,2,3,2,3)</f>
        <v>2.5555555555555554</v>
      </c>
      <c r="IS10" s="32">
        <v>2</v>
      </c>
      <c r="IT10" s="32">
        <v>2</v>
      </c>
      <c r="IU10" s="33">
        <f t="shared" si="52"/>
        <v>8.5555555555555554</v>
      </c>
      <c r="IV10" s="32">
        <f>MEDIAN(3,3,3,2,2,2,3,2,3)</f>
        <v>3</v>
      </c>
      <c r="IW10">
        <f t="shared" si="53"/>
        <v>9</v>
      </c>
      <c r="IY10" s="165">
        <v>7</v>
      </c>
      <c r="IZ10" s="32">
        <v>2</v>
      </c>
      <c r="JA10" s="32">
        <f>AVERAGE(3,2,3,2,3,3,2)</f>
        <v>2.5714285714285716</v>
      </c>
      <c r="JB10" s="32">
        <v>3</v>
      </c>
      <c r="JC10" s="32">
        <v>1</v>
      </c>
      <c r="JD10" s="33">
        <f t="shared" si="54"/>
        <v>8.5714285714285712</v>
      </c>
      <c r="JE10" s="32">
        <f>MEDIAN(3,2,3,2,3,3,2)</f>
        <v>3</v>
      </c>
      <c r="JF10">
        <f t="shared" si="55"/>
        <v>9</v>
      </c>
      <c r="JH10" s="165">
        <v>7</v>
      </c>
      <c r="JI10" s="32">
        <v>1</v>
      </c>
      <c r="JJ10" s="32">
        <f>MEDIAN(2,3,3,3,3,3,3,2,2,2)</f>
        <v>3</v>
      </c>
      <c r="JK10" s="32">
        <v>3</v>
      </c>
      <c r="JL10" s="32">
        <v>2</v>
      </c>
      <c r="JM10" s="33">
        <f t="shared" si="56"/>
        <v>9</v>
      </c>
      <c r="JN10" s="32">
        <f>MEDIAN(2,3,3,3,3,3,3,2,2,2)</f>
        <v>3</v>
      </c>
      <c r="JO10">
        <f t="shared" si="57"/>
        <v>9</v>
      </c>
      <c r="JQ10" s="165">
        <v>7</v>
      </c>
      <c r="JR10" s="32">
        <v>1</v>
      </c>
      <c r="JS10" s="32">
        <f>MEDIAN(3,2,3,3,3,3,3,2)</f>
        <v>3</v>
      </c>
      <c r="JT10" s="32">
        <v>3</v>
      </c>
      <c r="JU10" s="32">
        <v>1</v>
      </c>
      <c r="JV10" s="33">
        <f t="shared" si="58"/>
        <v>8</v>
      </c>
      <c r="JW10" s="32">
        <f>MEDIAN(3,2,3,3,3,3,3,2)</f>
        <v>3</v>
      </c>
      <c r="JX10">
        <f t="shared" si="59"/>
        <v>8</v>
      </c>
      <c r="JZ10" s="165">
        <v>7</v>
      </c>
      <c r="KA10" s="32">
        <v>0</v>
      </c>
      <c r="KB10" s="32">
        <f>AVERAGE(3,3,3,3,2,2,3,3,3,3)</f>
        <v>2.8</v>
      </c>
      <c r="KC10" s="32">
        <v>0</v>
      </c>
      <c r="KD10" s="32">
        <v>0</v>
      </c>
      <c r="KE10" s="33">
        <f t="shared" si="60"/>
        <v>2.8</v>
      </c>
      <c r="KF10" s="32">
        <f>MEDIAN(3,3,3,3,2,2,3,3,3,3)</f>
        <v>3</v>
      </c>
      <c r="KG10">
        <f t="shared" si="61"/>
        <v>3</v>
      </c>
      <c r="KI10" s="165">
        <v>7</v>
      </c>
      <c r="KJ10" s="32">
        <v>1</v>
      </c>
      <c r="KK10" s="32">
        <f>AVERAGE(3,3,2,3,3,3,2,2,3,3)</f>
        <v>2.7</v>
      </c>
      <c r="KL10" s="32">
        <v>3</v>
      </c>
      <c r="KM10" s="32">
        <v>2</v>
      </c>
      <c r="KN10" s="33">
        <f t="shared" si="62"/>
        <v>8.6999999999999993</v>
      </c>
      <c r="KO10" s="32">
        <f>MEDIAN(3,3,2,3,3,3,2,2,3,3)</f>
        <v>3</v>
      </c>
      <c r="KP10">
        <f t="shared" si="63"/>
        <v>9</v>
      </c>
      <c r="KR10" s="165">
        <v>7</v>
      </c>
      <c r="KS10" s="32">
        <v>2</v>
      </c>
      <c r="KT10" s="32">
        <f>AVERAGE(3,2,3,3,2,2,3,2,2,3,3)</f>
        <v>2.5454545454545454</v>
      </c>
      <c r="KU10" s="32">
        <v>3</v>
      </c>
      <c r="KV10" s="32">
        <v>2</v>
      </c>
      <c r="KW10" s="33">
        <f t="shared" si="64"/>
        <v>9.545454545454545</v>
      </c>
      <c r="KX10" s="32">
        <f>MEDIAN(3,2,3,3,2,2,3,2,2,3,3)</f>
        <v>3</v>
      </c>
      <c r="KY10">
        <f t="shared" si="65"/>
        <v>10</v>
      </c>
      <c r="LA10" s="165">
        <v>7</v>
      </c>
      <c r="LB10" s="32">
        <v>1</v>
      </c>
      <c r="LC10" s="32">
        <f>AVERAGE(3,3,3,2)</f>
        <v>2.75</v>
      </c>
      <c r="LD10" s="32" t="s">
        <v>31</v>
      </c>
      <c r="LE10" s="32">
        <v>3</v>
      </c>
      <c r="LF10" s="33">
        <f t="shared" si="66"/>
        <v>6.75</v>
      </c>
      <c r="LG10" s="32">
        <f>MEDIAN(3,3,3,2)</f>
        <v>3</v>
      </c>
      <c r="LH10">
        <f t="shared" si="67"/>
        <v>7</v>
      </c>
      <c r="LI10">
        <f>LH10*(4/3)</f>
        <v>9.3333333333333321</v>
      </c>
      <c r="LK10" s="165">
        <v>7</v>
      </c>
      <c r="LL10" s="32">
        <v>0</v>
      </c>
      <c r="LM10" s="32">
        <f>AVERAGE(3,3,3,2,1,3,3,3,3,2,2,2,3,3,2,2)</f>
        <v>2.5</v>
      </c>
      <c r="LN10" s="32">
        <v>2</v>
      </c>
      <c r="LO10" s="32">
        <v>1</v>
      </c>
      <c r="LP10" s="33">
        <f t="shared" si="68"/>
        <v>5.5</v>
      </c>
      <c r="LQ10" s="32">
        <f>MEDIAN(3,3,3,2,1,3,3,3,3,2,2,2,3,3,2,2)</f>
        <v>3</v>
      </c>
      <c r="LR10">
        <f t="shared" si="69"/>
        <v>6</v>
      </c>
      <c r="LT10" s="165">
        <v>7</v>
      </c>
      <c r="LU10" s="32">
        <v>0</v>
      </c>
      <c r="LV10" s="32">
        <f>AVERAGE(3,3,3,3,3)</f>
        <v>3</v>
      </c>
      <c r="LW10" s="32">
        <v>0</v>
      </c>
      <c r="LX10" s="32">
        <v>1</v>
      </c>
      <c r="LY10" s="33">
        <f t="shared" si="70"/>
        <v>4</v>
      </c>
      <c r="LZ10" s="32">
        <f>MEDIAN(3,3,3,3,3)</f>
        <v>3</v>
      </c>
      <c r="MA10">
        <f t="shared" si="71"/>
        <v>4</v>
      </c>
      <c r="MC10" s="165">
        <v>7</v>
      </c>
      <c r="MD10" s="32">
        <v>1</v>
      </c>
      <c r="ME10" s="32">
        <f>AVERAGE(3,3,2,3,2,3,3,3,3)</f>
        <v>2.7777777777777777</v>
      </c>
      <c r="MF10" s="32">
        <v>3</v>
      </c>
      <c r="MG10" s="32">
        <v>1</v>
      </c>
      <c r="MH10" s="33">
        <f t="shared" si="72"/>
        <v>7.7777777777777777</v>
      </c>
      <c r="MI10" s="32">
        <f>MEDIAN(3,3,2,3,2,3,3,3,3)</f>
        <v>3</v>
      </c>
      <c r="MJ10">
        <f t="shared" si="73"/>
        <v>8</v>
      </c>
      <c r="ML10" s="165">
        <v>7</v>
      </c>
      <c r="MM10" s="32">
        <v>1</v>
      </c>
      <c r="MN10" s="32">
        <f>AVERAGE(3,3)</f>
        <v>3</v>
      </c>
      <c r="MO10" s="32">
        <v>3</v>
      </c>
      <c r="MP10" s="32">
        <v>1</v>
      </c>
      <c r="MQ10" s="33">
        <f t="shared" si="74"/>
        <v>8</v>
      </c>
      <c r="MR10" s="32">
        <f>MEDIAN(3,3)</f>
        <v>3</v>
      </c>
      <c r="MS10">
        <f t="shared" si="75"/>
        <v>8</v>
      </c>
      <c r="MU10" s="165">
        <v>7</v>
      </c>
      <c r="MV10" s="32">
        <v>0</v>
      </c>
      <c r="MW10" s="32">
        <f>MEDIAN(3,3,3,2,1,3,3,2,2,3,3,3,3)</f>
        <v>3</v>
      </c>
      <c r="MX10" s="32">
        <v>3</v>
      </c>
      <c r="MY10" s="32">
        <v>1</v>
      </c>
      <c r="MZ10" s="33">
        <f t="shared" si="76"/>
        <v>7</v>
      </c>
      <c r="NA10" s="32">
        <f>MEDIAN(3,3,3,2,1,3,3,2,2,3,3,3,3)</f>
        <v>3</v>
      </c>
      <c r="NB10">
        <f t="shared" si="77"/>
        <v>7</v>
      </c>
      <c r="ND10" s="165">
        <v>7</v>
      </c>
      <c r="NE10" s="32">
        <v>1</v>
      </c>
      <c r="NF10" s="32">
        <f>MEDIAN(3,3,2,3,2,2,2,3,2,3,3)</f>
        <v>3</v>
      </c>
      <c r="NG10" s="32">
        <v>1</v>
      </c>
      <c r="NH10" s="32">
        <v>1</v>
      </c>
      <c r="NI10" s="33">
        <f t="shared" si="78"/>
        <v>6</v>
      </c>
      <c r="NJ10" s="32">
        <f>MEDIAN(3,3,2,3,2,2,2,3,2,3,3)</f>
        <v>3</v>
      </c>
      <c r="NK10">
        <f t="shared" si="79"/>
        <v>6</v>
      </c>
      <c r="NM10" s="165">
        <v>7</v>
      </c>
      <c r="NN10" s="32">
        <v>2</v>
      </c>
      <c r="NO10" s="32">
        <f>AVERAGE(3,3,3,3,2,3,3,3,2,3)</f>
        <v>2.8</v>
      </c>
      <c r="NP10" s="32">
        <v>2</v>
      </c>
      <c r="NQ10" s="32">
        <v>2</v>
      </c>
      <c r="NR10" s="33">
        <f t="shared" si="80"/>
        <v>8.8000000000000007</v>
      </c>
      <c r="NS10" s="32">
        <f>MEDIAN(3,3,3,3,2,3,3,3,2,3)</f>
        <v>3</v>
      </c>
      <c r="NT10">
        <f t="shared" si="81"/>
        <v>9</v>
      </c>
      <c r="NV10" s="165">
        <v>7</v>
      </c>
      <c r="NW10" s="32">
        <v>3</v>
      </c>
      <c r="NX10" s="32">
        <f>AVERAGE(3,3,3,3,3,3,3)</f>
        <v>3</v>
      </c>
      <c r="NY10" s="32" t="s">
        <v>31</v>
      </c>
      <c r="NZ10" s="32">
        <v>2</v>
      </c>
      <c r="OA10" s="33">
        <f t="shared" si="82"/>
        <v>8</v>
      </c>
      <c r="OB10" s="32">
        <f>MEDIAN(3,3,3,3,3,3,3)</f>
        <v>3</v>
      </c>
      <c r="OC10">
        <f t="shared" si="83"/>
        <v>8</v>
      </c>
      <c r="OD10">
        <f>OC10*(4/3)</f>
        <v>10.666666666666666</v>
      </c>
      <c r="OE10" s="165">
        <v>7</v>
      </c>
      <c r="OF10" s="32">
        <v>2</v>
      </c>
      <c r="OG10" s="32">
        <f>MEDIAN(3,3,3,3,3,3,3,3)</f>
        <v>3</v>
      </c>
      <c r="OH10" s="32">
        <v>3</v>
      </c>
      <c r="OI10" s="32">
        <v>1</v>
      </c>
      <c r="OJ10" s="33">
        <f t="shared" si="84"/>
        <v>9</v>
      </c>
      <c r="OK10" s="32">
        <f>MEDIAN(3,3,3,3,3,3,3,3)</f>
        <v>3</v>
      </c>
      <c r="OL10">
        <f t="shared" si="85"/>
        <v>9</v>
      </c>
      <c r="ON10" s="165">
        <v>7</v>
      </c>
      <c r="OO10" s="32">
        <v>2</v>
      </c>
      <c r="OP10" s="32">
        <f>MEDIAN(3,3,3,3,3,3,3,3,3,3,3,3,3,3,3,3)</f>
        <v>3</v>
      </c>
      <c r="OQ10" s="32">
        <v>3</v>
      </c>
      <c r="OR10" s="32">
        <v>2</v>
      </c>
      <c r="OS10" s="33">
        <f t="shared" si="86"/>
        <v>10</v>
      </c>
      <c r="OT10" s="32">
        <f>MEDIAN(3,3,3,3,3,3,3,3,3,3,3,3,3,3,3,3)</f>
        <v>3</v>
      </c>
      <c r="OU10">
        <f t="shared" si="87"/>
        <v>10</v>
      </c>
      <c r="OW10" s="165">
        <v>7</v>
      </c>
      <c r="OX10" s="32">
        <v>1</v>
      </c>
      <c r="OY10" s="32">
        <f>AVERAGE(2,2,2,3)</f>
        <v>2.25</v>
      </c>
      <c r="OZ10" s="32">
        <v>2</v>
      </c>
      <c r="PA10" s="32">
        <v>2</v>
      </c>
      <c r="PB10" s="33">
        <f t="shared" si="88"/>
        <v>7.25</v>
      </c>
      <c r="PC10" s="32">
        <f>MEDIAN(2,2,2,3)</f>
        <v>2</v>
      </c>
      <c r="PD10">
        <f t="shared" si="89"/>
        <v>7</v>
      </c>
      <c r="PF10" s="165">
        <v>7</v>
      </c>
      <c r="PG10" s="32">
        <v>1</v>
      </c>
      <c r="PH10" s="32">
        <f>AVERAGE(2,3,2,3)</f>
        <v>2.5</v>
      </c>
      <c r="PI10" s="32">
        <v>1</v>
      </c>
      <c r="PJ10" s="32">
        <v>2</v>
      </c>
      <c r="PK10" s="33">
        <f t="shared" si="90"/>
        <v>6.5</v>
      </c>
      <c r="PL10" s="32">
        <f>MEDIAN(2,3,2,3)</f>
        <v>2.5</v>
      </c>
      <c r="PM10">
        <f t="shared" si="91"/>
        <v>6.5</v>
      </c>
      <c r="PO10" s="165">
        <v>7</v>
      </c>
      <c r="PP10" s="32">
        <v>1</v>
      </c>
      <c r="PQ10" s="32">
        <f>MEDIAN(1,2,2,1,2,3,2,1,2,2)</f>
        <v>2</v>
      </c>
      <c r="PR10" s="32">
        <v>2</v>
      </c>
      <c r="PS10" s="32">
        <v>1</v>
      </c>
      <c r="PT10" s="33">
        <f t="shared" si="92"/>
        <v>6</v>
      </c>
      <c r="PV10" s="165">
        <v>7</v>
      </c>
      <c r="PW10" s="32">
        <v>2</v>
      </c>
      <c r="PX10" s="32">
        <f>MEDIAN(3,3)</f>
        <v>3</v>
      </c>
      <c r="PY10" s="32">
        <v>0</v>
      </c>
      <c r="PZ10" s="32">
        <v>1</v>
      </c>
      <c r="QA10" s="33">
        <f t="shared" si="93"/>
        <v>6</v>
      </c>
      <c r="QB10" s="32">
        <f>MEDIAN(3,3)</f>
        <v>3</v>
      </c>
      <c r="QC10">
        <f t="shared" si="94"/>
        <v>6</v>
      </c>
      <c r="QE10" s="165">
        <v>7</v>
      </c>
      <c r="QF10" s="32">
        <v>0</v>
      </c>
      <c r="QG10" s="32">
        <f>MEDIAN(3,3,2,2)</f>
        <v>2.5</v>
      </c>
      <c r="QH10" s="32">
        <v>1</v>
      </c>
      <c r="QI10" s="32">
        <v>1</v>
      </c>
      <c r="QJ10" s="33">
        <f t="shared" si="95"/>
        <v>4.5</v>
      </c>
      <c r="QK10" s="32">
        <f>MEDIAN(3,3,2,2)</f>
        <v>2.5</v>
      </c>
      <c r="QL10">
        <f t="shared" si="96"/>
        <v>4.5</v>
      </c>
      <c r="QN10" s="165">
        <v>7</v>
      </c>
      <c r="QO10" s="32">
        <v>1</v>
      </c>
      <c r="QP10" s="32">
        <f>MEDIAN(2,3,2,3,2,3,2,3)</f>
        <v>2.5</v>
      </c>
      <c r="QQ10" s="32">
        <v>2</v>
      </c>
      <c r="QR10" s="32">
        <v>1</v>
      </c>
      <c r="QS10" s="33">
        <f t="shared" si="97"/>
        <v>6.5</v>
      </c>
      <c r="QT10" s="32">
        <f>MEDIAN(2,3,2,3,2,3,2,3)</f>
        <v>2.5</v>
      </c>
      <c r="QU10">
        <f t="shared" si="98"/>
        <v>6.5</v>
      </c>
      <c r="QW10" s="165">
        <v>7</v>
      </c>
      <c r="QX10" s="32">
        <v>0</v>
      </c>
      <c r="QY10" s="32">
        <f>AVERAGE(3,2,3,2,3,3,3,3,2,2,3,2,3)</f>
        <v>2.6153846153846154</v>
      </c>
      <c r="QZ10" s="32">
        <v>1</v>
      </c>
      <c r="RA10" s="32">
        <v>1</v>
      </c>
      <c r="RB10" s="33">
        <f t="shared" si="99"/>
        <v>4.615384615384615</v>
      </c>
      <c r="RC10" s="32">
        <f>MEDIAN(3,2,3,2,3,3,3,3,2,2,3,2,3)</f>
        <v>3</v>
      </c>
      <c r="RD10">
        <f t="shared" si="100"/>
        <v>5</v>
      </c>
      <c r="RF10" s="165">
        <v>7</v>
      </c>
      <c r="RG10" s="32">
        <v>1</v>
      </c>
      <c r="RH10" s="32">
        <f>AVERAGE(3,3,3,3,3,3,3,2,2,3,3,3,2,3,3,3,2)</f>
        <v>2.7647058823529411</v>
      </c>
      <c r="RI10" s="32">
        <v>0</v>
      </c>
      <c r="RJ10" s="32">
        <v>1</v>
      </c>
      <c r="RK10" s="33">
        <f t="shared" si="101"/>
        <v>4.7647058823529411</v>
      </c>
      <c r="RL10" s="32">
        <f>MEDIAN(3,3,3,3,3,3,3,2,2,3,3,3,2,3,3,3,2)</f>
        <v>3</v>
      </c>
      <c r="RM10">
        <f t="shared" si="102"/>
        <v>5</v>
      </c>
      <c r="RO10" s="165">
        <v>7</v>
      </c>
      <c r="RP10" s="32">
        <v>0</v>
      </c>
      <c r="RQ10" s="32">
        <f>AVERAGE(3,2,3,2,3,3)</f>
        <v>2.6666666666666665</v>
      </c>
      <c r="RR10" s="32">
        <v>1</v>
      </c>
      <c r="RS10" s="32">
        <v>1</v>
      </c>
      <c r="RT10" s="33">
        <f t="shared" si="103"/>
        <v>4.6666666666666661</v>
      </c>
      <c r="RU10" s="32">
        <f>MEDIAN(3,2,3,2,3,3)</f>
        <v>3</v>
      </c>
      <c r="RV10">
        <f t="shared" si="104"/>
        <v>5</v>
      </c>
      <c r="RX10" s="165">
        <v>7</v>
      </c>
      <c r="RY10" s="32">
        <v>0</v>
      </c>
      <c r="RZ10" s="32">
        <f>AVERAGE(3,3,3,3,3,3,3)</f>
        <v>3</v>
      </c>
      <c r="SA10" s="32">
        <v>3</v>
      </c>
      <c r="SB10" s="32">
        <v>2</v>
      </c>
      <c r="SC10" s="33">
        <f t="shared" si="105"/>
        <v>8</v>
      </c>
      <c r="SD10" s="32">
        <f>MEDIAN(3,3,3,3,3,3,3)</f>
        <v>3</v>
      </c>
      <c r="SE10">
        <f t="shared" si="106"/>
        <v>8</v>
      </c>
      <c r="SG10" s="165">
        <v>7</v>
      </c>
      <c r="SH10" s="32">
        <v>2</v>
      </c>
      <c r="SI10" s="32">
        <f>MEDIAN(3,3,1,3,2,3,2,3,2,3,2,3,2,2)</f>
        <v>2.5</v>
      </c>
      <c r="SJ10" s="32">
        <v>1</v>
      </c>
      <c r="SK10" s="32">
        <v>0</v>
      </c>
      <c r="SL10" s="33">
        <f t="shared" si="107"/>
        <v>5.5</v>
      </c>
      <c r="SM10" s="32">
        <f>MEDIAN(3,3,1,3,2,3,2,3,2,3,2,3,2,2)</f>
        <v>2.5</v>
      </c>
      <c r="SN10">
        <f t="shared" si="108"/>
        <v>5.5</v>
      </c>
      <c r="SP10" s="165">
        <v>7</v>
      </c>
      <c r="SQ10" s="32">
        <v>1</v>
      </c>
      <c r="SR10" s="32">
        <f>MEDIAN(3,3,2,2,3,2,3,3,3)</f>
        <v>3</v>
      </c>
      <c r="SS10" s="32">
        <v>1</v>
      </c>
      <c r="ST10" s="32">
        <v>0</v>
      </c>
      <c r="SU10" s="33">
        <f t="shared" si="109"/>
        <v>5</v>
      </c>
      <c r="SV10" s="32">
        <f>MEDIAN(3,3,2,2,3,2,3,3,3)</f>
        <v>3</v>
      </c>
      <c r="SW10">
        <f t="shared" si="110"/>
        <v>5</v>
      </c>
      <c r="SY10" s="165">
        <v>7</v>
      </c>
      <c r="SZ10" s="32">
        <v>0</v>
      </c>
      <c r="TA10" s="32">
        <f>AVERAGE(2,2)</f>
        <v>2</v>
      </c>
      <c r="TB10" s="32">
        <v>1</v>
      </c>
      <c r="TC10" s="32">
        <v>0</v>
      </c>
      <c r="TD10" s="33">
        <f t="shared" si="111"/>
        <v>3</v>
      </c>
      <c r="TE10" s="32">
        <f>MEDIAN(2,2)</f>
        <v>2</v>
      </c>
      <c r="TF10">
        <f t="shared" si="112"/>
        <v>3</v>
      </c>
      <c r="TH10" s="165">
        <v>7</v>
      </c>
      <c r="TI10" s="32">
        <v>2</v>
      </c>
      <c r="TJ10" s="32">
        <f>MEDIAN(3,3,2,2,3,3,2,3,2,3,2,3)</f>
        <v>3</v>
      </c>
      <c r="TK10" s="32">
        <v>3</v>
      </c>
      <c r="TL10" s="32">
        <v>2</v>
      </c>
      <c r="TM10" s="33">
        <f t="shared" si="113"/>
        <v>10</v>
      </c>
      <c r="TN10" s="32">
        <f>MEDIAN(3,3,2,2,3,3,2,3,2,3,2,3)</f>
        <v>3</v>
      </c>
      <c r="TO10">
        <f t="shared" si="114"/>
        <v>10</v>
      </c>
      <c r="TQ10" s="165">
        <v>7</v>
      </c>
      <c r="TR10" s="32">
        <v>2</v>
      </c>
      <c r="TS10" s="32">
        <f>MEDIAN(3,3,2,3,3,2,2,2,2,2,3,3,2)</f>
        <v>2</v>
      </c>
      <c r="TT10" s="32">
        <v>3</v>
      </c>
      <c r="TU10" s="32">
        <v>3</v>
      </c>
      <c r="TV10" s="33">
        <f t="shared" si="115"/>
        <v>10</v>
      </c>
      <c r="TX10" s="165">
        <v>7</v>
      </c>
      <c r="TY10" s="32">
        <v>2</v>
      </c>
      <c r="TZ10" s="32">
        <f>MEDIAN(2,2,2,2,3,2)</f>
        <v>2</v>
      </c>
      <c r="UA10" s="32">
        <v>3</v>
      </c>
      <c r="UB10" s="32">
        <v>2</v>
      </c>
      <c r="UC10" s="33">
        <f t="shared" si="116"/>
        <v>9</v>
      </c>
      <c r="UD10" s="32">
        <f>MEDIAN(2,2,2,2,3,2)</f>
        <v>2</v>
      </c>
      <c r="UE10">
        <f t="shared" si="117"/>
        <v>9</v>
      </c>
      <c r="UG10" s="165">
        <v>7</v>
      </c>
      <c r="UH10" s="32">
        <v>0</v>
      </c>
      <c r="UI10" s="32">
        <f>MEDIAN(3,3,3,3,2,3,2,3,3,3,3,3,2,3)</f>
        <v>3</v>
      </c>
      <c r="UJ10" s="32">
        <v>3</v>
      </c>
      <c r="UK10" s="32">
        <v>3</v>
      </c>
      <c r="UL10" s="33">
        <f t="shared" si="118"/>
        <v>9</v>
      </c>
      <c r="UN10" s="165">
        <v>7</v>
      </c>
      <c r="UO10" s="32">
        <v>2</v>
      </c>
      <c r="UP10" s="32">
        <f>AVERAGE(3,2,3,2,2)</f>
        <v>2.4</v>
      </c>
      <c r="UQ10" s="32">
        <v>3</v>
      </c>
      <c r="UR10" s="32">
        <v>2</v>
      </c>
      <c r="US10" s="33">
        <f t="shared" si="119"/>
        <v>9.4</v>
      </c>
      <c r="UT10" s="32">
        <f>MEDIAN(3,2,3,2,2)</f>
        <v>2</v>
      </c>
      <c r="UU10">
        <f t="shared" si="120"/>
        <v>9</v>
      </c>
      <c r="UW10" s="165">
        <v>7</v>
      </c>
      <c r="UX10" s="32">
        <v>1</v>
      </c>
      <c r="UY10" s="32">
        <f>AVERAGE(3,2,3,3,2,2,1,2,2,2,2,3)</f>
        <v>2.25</v>
      </c>
      <c r="UZ10" s="32">
        <v>1</v>
      </c>
      <c r="VA10" s="32">
        <v>3</v>
      </c>
      <c r="VB10" s="33">
        <f t="shared" si="121"/>
        <v>7.25</v>
      </c>
      <c r="VC10" s="32">
        <f>MEDIAN(3,2,3,3,2,2,1,2,2,2,2,3)</f>
        <v>2</v>
      </c>
      <c r="VD10">
        <f t="shared" si="122"/>
        <v>7</v>
      </c>
      <c r="VF10" s="165">
        <v>7</v>
      </c>
      <c r="VG10" s="32">
        <v>1</v>
      </c>
      <c r="VH10" s="32">
        <f>AVERAGE(3,3)</f>
        <v>3</v>
      </c>
      <c r="VI10" s="32">
        <v>2</v>
      </c>
      <c r="VJ10" s="32">
        <v>0</v>
      </c>
      <c r="VK10" s="33">
        <f t="shared" si="123"/>
        <v>6</v>
      </c>
      <c r="VL10" s="32">
        <f>MEDIAN(3,3)</f>
        <v>3</v>
      </c>
      <c r="VM10">
        <f t="shared" si="124"/>
        <v>6</v>
      </c>
      <c r="VO10" s="165">
        <v>7</v>
      </c>
      <c r="VP10" s="32">
        <v>2</v>
      </c>
      <c r="VQ10" s="32">
        <f>AVERAGE(2,3,3,2,2,3,2,3,3,2,3,3)</f>
        <v>2.5833333333333335</v>
      </c>
      <c r="VR10" s="32">
        <v>3</v>
      </c>
      <c r="VS10" s="32">
        <v>2</v>
      </c>
      <c r="VT10" s="33">
        <f t="shared" si="125"/>
        <v>9.5833333333333339</v>
      </c>
      <c r="VU10" s="32">
        <f>MEDIAN(2,3,3,2,2,3,2,3,3,2,3,3)</f>
        <v>3</v>
      </c>
      <c r="VV10">
        <f t="shared" si="126"/>
        <v>10</v>
      </c>
    </row>
    <row r="11" spans="2:594" ht="15" thickBot="1" x14ac:dyDescent="0.4">
      <c r="B11" s="165">
        <v>8</v>
      </c>
      <c r="C11" s="32">
        <v>0</v>
      </c>
      <c r="D11" s="32">
        <f>AVERAGE(2,2,1,2,2,2,1,2)</f>
        <v>1.75</v>
      </c>
      <c r="E11" s="32">
        <v>1</v>
      </c>
      <c r="F11" s="32">
        <v>1</v>
      </c>
      <c r="G11" s="33">
        <f t="shared" si="0"/>
        <v>3.75</v>
      </c>
      <c r="H11" s="32">
        <f>MEDIAN(2,2,1,2,2,2,1,2)</f>
        <v>2</v>
      </c>
      <c r="I11" s="75">
        <f t="shared" si="1"/>
        <v>4</v>
      </c>
      <c r="K11" s="165">
        <v>8</v>
      </c>
      <c r="L11" s="32">
        <v>1</v>
      </c>
      <c r="M11" s="32">
        <f>AVERAGE(3,3,3,3,2,2,2)</f>
        <v>2.5714285714285716</v>
      </c>
      <c r="N11" s="32">
        <v>3</v>
      </c>
      <c r="O11" s="32">
        <v>2</v>
      </c>
      <c r="P11" s="33">
        <f t="shared" si="2"/>
        <v>8.5714285714285712</v>
      </c>
      <c r="Q11" s="32">
        <f>MEDIAN(3,3,3,3,2,2,2)</f>
        <v>3</v>
      </c>
      <c r="R11" s="75">
        <f t="shared" si="3"/>
        <v>9</v>
      </c>
      <c r="T11" s="165">
        <v>8</v>
      </c>
      <c r="U11" s="32">
        <v>3</v>
      </c>
      <c r="V11" s="32">
        <f>AVERAGE(3,3)</f>
        <v>3</v>
      </c>
      <c r="W11" s="32">
        <v>3</v>
      </c>
      <c r="X11" s="32">
        <v>1</v>
      </c>
      <c r="Y11" s="32">
        <f>MEDIAN(3,3)</f>
        <v>3</v>
      </c>
      <c r="Z11" s="18">
        <f t="shared" si="4"/>
        <v>10</v>
      </c>
      <c r="AB11" s="165">
        <v>8</v>
      </c>
      <c r="AC11" s="32">
        <v>1</v>
      </c>
      <c r="AD11" s="32">
        <f>AVERAGE(3,2,2,2,2,3)</f>
        <v>2.3333333333333335</v>
      </c>
      <c r="AE11" s="32">
        <v>3</v>
      </c>
      <c r="AF11" s="32">
        <v>2</v>
      </c>
      <c r="AG11" s="32">
        <f>MEDIAN(3,2,2,2,2,3)</f>
        <v>2</v>
      </c>
      <c r="AH11" s="18">
        <f t="shared" si="5"/>
        <v>8</v>
      </c>
      <c r="AJ11" s="165">
        <v>8</v>
      </c>
      <c r="AK11" s="32">
        <v>0</v>
      </c>
      <c r="AL11" s="32">
        <f>AVERAGE(2,3,3,3,2,2,3,3,3,3,2,2,3,3,2,3,3,3,3,2)</f>
        <v>2.65</v>
      </c>
      <c r="AM11" s="32">
        <v>1</v>
      </c>
      <c r="AN11" s="32">
        <v>1</v>
      </c>
      <c r="AO11" s="33">
        <f t="shared" si="6"/>
        <v>4.6500000000000004</v>
      </c>
      <c r="AP11" s="32">
        <f>MEDIAN(2,3,3,3,2,2,3,3,3,3,2,2,3,3,2,3,3,3,3,2)</f>
        <v>3</v>
      </c>
      <c r="AQ11" s="75">
        <f t="shared" si="7"/>
        <v>5</v>
      </c>
      <c r="AS11" s="165">
        <v>8</v>
      </c>
      <c r="AT11" s="32">
        <v>1</v>
      </c>
      <c r="AU11" s="32">
        <f>AVERAGE(2,2,2,2,2,3,2,2)</f>
        <v>2.125</v>
      </c>
      <c r="AV11" s="32">
        <v>2</v>
      </c>
      <c r="AW11" s="32">
        <v>2</v>
      </c>
      <c r="AX11" s="33">
        <f t="shared" si="8"/>
        <v>7.125</v>
      </c>
      <c r="AY11" s="32">
        <f>MEDIAN(2,2,2,2,2,3,2,2)</f>
        <v>2</v>
      </c>
      <c r="AZ11" s="75">
        <f t="shared" si="9"/>
        <v>7</v>
      </c>
      <c r="BB11" s="165">
        <v>8</v>
      </c>
      <c r="BC11" s="32">
        <v>2</v>
      </c>
      <c r="BD11" s="32">
        <f>MEDIAN(2,2,2,3,2,2,3)</f>
        <v>2</v>
      </c>
      <c r="BE11" s="32">
        <v>1</v>
      </c>
      <c r="BF11" s="32">
        <v>2</v>
      </c>
      <c r="BG11" s="33">
        <f t="shared" si="10"/>
        <v>7</v>
      </c>
      <c r="BH11" s="32">
        <f>MEDIAN(2,2,2,3,2,2,3)</f>
        <v>2</v>
      </c>
      <c r="BI11" s="75">
        <f t="shared" si="11"/>
        <v>7</v>
      </c>
      <c r="BK11" s="165">
        <v>8</v>
      </c>
      <c r="BL11" s="32">
        <v>0</v>
      </c>
      <c r="BM11" s="32">
        <f>MEDIAN(2,3,2,3,3,2,2,3,3,2,2,3)</f>
        <v>2.5</v>
      </c>
      <c r="BN11" s="32">
        <v>2</v>
      </c>
      <c r="BO11" s="32">
        <v>1</v>
      </c>
      <c r="BP11" s="33">
        <f t="shared" si="12"/>
        <v>5.5</v>
      </c>
      <c r="BQ11" s="32">
        <f>MEDIAN(2,3,2,3,3,2,2,3,3,2,2,3)</f>
        <v>2.5</v>
      </c>
      <c r="BR11" s="75">
        <f t="shared" si="13"/>
        <v>5.5</v>
      </c>
      <c r="BT11" s="165">
        <v>8</v>
      </c>
      <c r="BU11" s="32">
        <v>2</v>
      </c>
      <c r="BV11" s="32">
        <f>MEDIAN(2,2,3,3,2,2,1,2)</f>
        <v>2</v>
      </c>
      <c r="BW11" s="32">
        <v>2</v>
      </c>
      <c r="BX11" s="32">
        <v>1</v>
      </c>
      <c r="BY11" s="33">
        <f t="shared" si="14"/>
        <v>7</v>
      </c>
      <c r="CB11" s="165">
        <v>8</v>
      </c>
      <c r="CC11" s="32">
        <v>1</v>
      </c>
      <c r="CD11" s="32">
        <f>MEDIAN(2,3,3,3,2,1,1)</f>
        <v>2</v>
      </c>
      <c r="CE11" s="32">
        <v>1</v>
      </c>
      <c r="CF11" s="32">
        <v>1</v>
      </c>
      <c r="CG11" s="33">
        <f t="shared" si="15"/>
        <v>5</v>
      </c>
      <c r="CJ11" s="165">
        <v>8</v>
      </c>
      <c r="CK11" s="32">
        <v>1</v>
      </c>
      <c r="CL11" s="32">
        <f>MEDIAN(2,3,3,3,2,2,3)</f>
        <v>3</v>
      </c>
      <c r="CM11" s="32">
        <v>3</v>
      </c>
      <c r="CN11" s="32">
        <v>2</v>
      </c>
      <c r="CO11" s="33">
        <f t="shared" si="16"/>
        <v>9</v>
      </c>
      <c r="CP11" s="32">
        <f>MEDIAN(2,3,3,3,2,2,3)</f>
        <v>3</v>
      </c>
      <c r="CQ11" s="75">
        <f t="shared" si="17"/>
        <v>9</v>
      </c>
      <c r="CS11" s="165">
        <v>8</v>
      </c>
      <c r="CT11" s="32">
        <v>2</v>
      </c>
      <c r="CU11" s="32">
        <f>MEDIAN(3,3,3,3,2,2,2,3)</f>
        <v>3</v>
      </c>
      <c r="CV11" s="32">
        <v>2</v>
      </c>
      <c r="CW11" s="32">
        <v>2</v>
      </c>
      <c r="CX11" s="33">
        <f t="shared" si="18"/>
        <v>9</v>
      </c>
      <c r="CY11" s="32">
        <f>MEDIAN(3,3,3,3,2,2,2,3)</f>
        <v>3</v>
      </c>
      <c r="CZ11" s="75">
        <f t="shared" si="19"/>
        <v>9</v>
      </c>
      <c r="DB11" s="165">
        <v>8</v>
      </c>
      <c r="DC11" s="32">
        <v>1</v>
      </c>
      <c r="DD11" s="32">
        <f>AVERAGE(2,3,3,2,2,2,2,2,3,3)</f>
        <v>2.4</v>
      </c>
      <c r="DE11" s="32">
        <v>2</v>
      </c>
      <c r="DF11" s="32">
        <v>0</v>
      </c>
      <c r="DG11" s="33">
        <f t="shared" si="20"/>
        <v>5.4</v>
      </c>
      <c r="DH11" s="32">
        <f>MEDIAN(2,3,3,2,2,2,2,2,3,3)</f>
        <v>2</v>
      </c>
      <c r="DI11" s="75">
        <f t="shared" si="21"/>
        <v>5</v>
      </c>
      <c r="DK11" s="165">
        <v>8</v>
      </c>
      <c r="DL11" s="32">
        <v>0</v>
      </c>
      <c r="DM11" s="32">
        <f>AVERAGE(2,3,3,3,2,2)</f>
        <v>2.5</v>
      </c>
      <c r="DN11" s="32">
        <v>3</v>
      </c>
      <c r="DO11" s="32">
        <v>2</v>
      </c>
      <c r="DP11" s="33">
        <f t="shared" si="22"/>
        <v>7.5</v>
      </c>
      <c r="DQ11" s="32">
        <f>MEDIAN(2,3,3,3,2,2)</f>
        <v>2.5</v>
      </c>
      <c r="DR11" s="75">
        <f t="shared" si="23"/>
        <v>7.5</v>
      </c>
      <c r="DT11" s="165">
        <v>8</v>
      </c>
      <c r="DU11" s="32">
        <v>1</v>
      </c>
      <c r="DV11" s="32">
        <f>AVERAGE(2,2,3,3,2,2,1,2,2,2,2,2,2,2,2,2,3,3,2)</f>
        <v>2.1578947368421053</v>
      </c>
      <c r="DW11" s="32">
        <v>2</v>
      </c>
      <c r="DX11" s="32">
        <v>1</v>
      </c>
      <c r="DY11" s="33">
        <f t="shared" si="24"/>
        <v>6.1578947368421053</v>
      </c>
      <c r="DZ11" s="32">
        <f>MEDIAN(2,2,3,3,2,2,1,2,2,2,2,2,2,2,2,2,3,3,2)</f>
        <v>2</v>
      </c>
      <c r="EA11" s="75">
        <f t="shared" si="25"/>
        <v>6</v>
      </c>
      <c r="EC11" s="165">
        <v>8</v>
      </c>
      <c r="ED11" s="32">
        <v>0</v>
      </c>
      <c r="EE11" s="32">
        <f>AVERAGE(3,3,2,2,2,3,2,3,2,3,2,2,3,2,2,2)</f>
        <v>2.375</v>
      </c>
      <c r="EF11" s="32">
        <v>3</v>
      </c>
      <c r="EG11" s="32">
        <v>2</v>
      </c>
      <c r="EH11" s="33">
        <f t="shared" si="26"/>
        <v>7.375</v>
      </c>
      <c r="EI11" s="32">
        <f>MEDIAN(3,3,2,2,2,3,2,3,2,3,2,2,3,2,2,2)</f>
        <v>2</v>
      </c>
      <c r="EJ11" s="75">
        <f t="shared" si="27"/>
        <v>7</v>
      </c>
      <c r="EL11" s="165">
        <v>8</v>
      </c>
      <c r="EM11" s="32">
        <v>1</v>
      </c>
      <c r="EN11" s="32">
        <f>AVERAGE(2,3,2,2,3,2,2)</f>
        <v>2.2857142857142856</v>
      </c>
      <c r="EO11" s="32">
        <v>1</v>
      </c>
      <c r="EP11" s="32">
        <v>0</v>
      </c>
      <c r="EQ11" s="33">
        <f t="shared" si="28"/>
        <v>4.2857142857142856</v>
      </c>
      <c r="ER11" s="197">
        <f>MEDIAN(2,3,2,2,3,2,2)</f>
        <v>2</v>
      </c>
      <c r="ES11">
        <f t="shared" si="29"/>
        <v>4</v>
      </c>
      <c r="EU11" s="165">
        <v>8</v>
      </c>
      <c r="EV11" s="32">
        <v>1</v>
      </c>
      <c r="EW11" s="32">
        <f>AVERAGE(3,2,2,3,2,3,2,3,2,3,3)</f>
        <v>2.5454545454545454</v>
      </c>
      <c r="EX11" s="32">
        <v>2</v>
      </c>
      <c r="EY11" s="32">
        <v>0</v>
      </c>
      <c r="EZ11" s="33">
        <f t="shared" si="30"/>
        <v>5.545454545454545</v>
      </c>
      <c r="FA11" s="197">
        <f>MEDIAN(3,2,2,3,2,3,2,3,2,3,3)</f>
        <v>3</v>
      </c>
      <c r="FB11">
        <f t="shared" si="31"/>
        <v>6</v>
      </c>
      <c r="FD11" s="165">
        <v>8</v>
      </c>
      <c r="FE11" s="32">
        <v>0</v>
      </c>
      <c r="FF11" s="32">
        <f>AVERAGE(3,3,3,3)</f>
        <v>3</v>
      </c>
      <c r="FG11" s="32">
        <v>1</v>
      </c>
      <c r="FH11" s="32">
        <v>0</v>
      </c>
      <c r="FI11" s="33">
        <f t="shared" si="32"/>
        <v>4</v>
      </c>
      <c r="FJ11" s="197">
        <f>MEDIAN(3,3,3,3)</f>
        <v>3</v>
      </c>
      <c r="FK11">
        <f t="shared" si="33"/>
        <v>4</v>
      </c>
      <c r="FM11" s="165">
        <v>8</v>
      </c>
      <c r="FN11" s="32">
        <v>1</v>
      </c>
      <c r="FO11" s="32">
        <f>AVERAGE(3,3,3,3,3,3,3)</f>
        <v>3</v>
      </c>
      <c r="FP11" s="32">
        <v>2</v>
      </c>
      <c r="FQ11" s="32">
        <v>1</v>
      </c>
      <c r="FR11" s="33">
        <f t="shared" si="34"/>
        <v>7</v>
      </c>
      <c r="FS11" s="197">
        <f>MEDIAN(3,3,3,3,3,3,3)</f>
        <v>3</v>
      </c>
      <c r="FT11">
        <f t="shared" si="35"/>
        <v>7</v>
      </c>
      <c r="FV11" s="165">
        <v>8</v>
      </c>
      <c r="FW11" s="32">
        <v>1</v>
      </c>
      <c r="FX11" s="32">
        <f>MEDIAN(3,3,3,3,3,3,3,3,3,3)</f>
        <v>3</v>
      </c>
      <c r="FY11" s="32">
        <v>1</v>
      </c>
      <c r="FZ11" s="32">
        <v>0</v>
      </c>
      <c r="GA11" s="33">
        <f t="shared" si="36"/>
        <v>5</v>
      </c>
      <c r="GB11" s="32">
        <f>MEDIAN(3,3,3,3,3,3,3,3,3,3)</f>
        <v>3</v>
      </c>
      <c r="GC11">
        <f t="shared" si="37"/>
        <v>5</v>
      </c>
      <c r="GE11" s="165">
        <v>8</v>
      </c>
      <c r="GF11" s="32">
        <v>1</v>
      </c>
      <c r="GG11" s="32">
        <f>MEDIAN(3,3,3,3,3,3)</f>
        <v>3</v>
      </c>
      <c r="GH11" s="32">
        <v>0</v>
      </c>
      <c r="GI11" s="32">
        <v>0</v>
      </c>
      <c r="GJ11" s="18">
        <f t="shared" si="38"/>
        <v>4</v>
      </c>
      <c r="GK11" s="32">
        <f>MEDIAN(3,3,3,3,3,3)</f>
        <v>3</v>
      </c>
      <c r="GL11">
        <f t="shared" si="39"/>
        <v>4</v>
      </c>
      <c r="GN11" s="165">
        <v>8</v>
      </c>
      <c r="GO11" s="32">
        <v>2</v>
      </c>
      <c r="GP11" s="32">
        <f>AVERAGE(3,3,3,3,2,2,3)</f>
        <v>2.7142857142857144</v>
      </c>
      <c r="GQ11" s="32">
        <v>0</v>
      </c>
      <c r="GR11" s="32">
        <v>1</v>
      </c>
      <c r="GS11" s="33">
        <f t="shared" si="40"/>
        <v>5.7142857142857144</v>
      </c>
      <c r="GT11" s="196">
        <f>MEDIAN(3,3,3,3,2,2,3)</f>
        <v>3</v>
      </c>
      <c r="GU11" s="32">
        <f t="shared" si="41"/>
        <v>6</v>
      </c>
      <c r="GW11" s="165">
        <v>8</v>
      </c>
      <c r="GX11" s="32">
        <v>1</v>
      </c>
      <c r="GY11" s="32">
        <f>AVERAGE(2,2,3)</f>
        <v>2.3333333333333335</v>
      </c>
      <c r="GZ11" s="32">
        <v>0</v>
      </c>
      <c r="HA11" s="32">
        <v>1</v>
      </c>
      <c r="HB11" s="33">
        <f t="shared" si="42"/>
        <v>4.3333333333333339</v>
      </c>
      <c r="HC11" s="196">
        <f>MEDIAN(2,2,3)</f>
        <v>2</v>
      </c>
      <c r="HD11">
        <f t="shared" si="43"/>
        <v>4</v>
      </c>
      <c r="HF11" s="165">
        <v>8</v>
      </c>
      <c r="HG11" s="32">
        <v>0</v>
      </c>
      <c r="HH11" s="32">
        <f>AVERAGE(3,3,3,3,3,2,2,2)</f>
        <v>2.625</v>
      </c>
      <c r="HI11" s="32">
        <v>2</v>
      </c>
      <c r="HJ11" s="32">
        <v>2</v>
      </c>
      <c r="HK11" s="33">
        <f t="shared" si="44"/>
        <v>6.625</v>
      </c>
      <c r="HL11" s="32">
        <f>MEDIAN(3,3,3,3,3,2,2,2)</f>
        <v>3</v>
      </c>
      <c r="HM11">
        <f t="shared" si="45"/>
        <v>7</v>
      </c>
      <c r="HO11" s="165">
        <v>8</v>
      </c>
      <c r="HP11" s="32">
        <v>0</v>
      </c>
      <c r="HQ11" s="32">
        <f>AVERAGE(2,2,2,2,3,2,2,3,2,2,3)</f>
        <v>2.2727272727272729</v>
      </c>
      <c r="HR11" s="32">
        <v>3</v>
      </c>
      <c r="HS11" s="32">
        <v>1</v>
      </c>
      <c r="HT11" s="33">
        <f t="shared" si="46"/>
        <v>6.2727272727272734</v>
      </c>
      <c r="HU11" s="32">
        <f>MEDIAN(2,2,2,2,3,2,2,3,2,2,3)</f>
        <v>2</v>
      </c>
      <c r="HV11">
        <f t="shared" si="47"/>
        <v>6</v>
      </c>
      <c r="HX11" s="165">
        <v>8</v>
      </c>
      <c r="HY11" s="32">
        <v>0</v>
      </c>
      <c r="HZ11" s="32">
        <f>MEDIAN(3,3,3,3,3,3,3,3)</f>
        <v>3</v>
      </c>
      <c r="IA11" s="32">
        <v>2</v>
      </c>
      <c r="IB11" s="32">
        <v>2</v>
      </c>
      <c r="IC11" s="33">
        <f t="shared" si="48"/>
        <v>7</v>
      </c>
      <c r="ID11" s="32">
        <f>MEDIAN(3,3,3,3,3,3,3,3)</f>
        <v>3</v>
      </c>
      <c r="IE11">
        <f t="shared" si="49"/>
        <v>7</v>
      </c>
      <c r="IG11" s="165">
        <v>8</v>
      </c>
      <c r="IH11" s="32">
        <v>0</v>
      </c>
      <c r="II11" s="32">
        <f>MEDIAN(3,3,2,2,3,2,3,3)</f>
        <v>3</v>
      </c>
      <c r="IJ11" s="32">
        <v>0</v>
      </c>
      <c r="IK11" s="32">
        <v>0</v>
      </c>
      <c r="IL11" s="33">
        <f t="shared" si="50"/>
        <v>3</v>
      </c>
      <c r="IM11" s="32">
        <f>MEDIAN(3,3,2,2,3,2,3,3)</f>
        <v>3</v>
      </c>
      <c r="IN11">
        <f t="shared" si="51"/>
        <v>3</v>
      </c>
      <c r="IP11" s="165">
        <v>8</v>
      </c>
      <c r="IQ11" s="32">
        <v>1</v>
      </c>
      <c r="IR11" s="32">
        <f>AVERAGE(3,3,3,3)</f>
        <v>3</v>
      </c>
      <c r="IS11" s="32">
        <v>3</v>
      </c>
      <c r="IT11" s="32">
        <v>1</v>
      </c>
      <c r="IU11" s="33">
        <f t="shared" si="52"/>
        <v>8</v>
      </c>
      <c r="IV11" s="32">
        <f>MEDIAN(3,3,3,3)</f>
        <v>3</v>
      </c>
      <c r="IW11">
        <f t="shared" si="53"/>
        <v>8</v>
      </c>
      <c r="IY11" s="165">
        <v>8</v>
      </c>
      <c r="IZ11" s="32">
        <v>1</v>
      </c>
      <c r="JA11" s="32">
        <f>AVERAGE(3,3,3,3,3,3,3,3,2,3,3,3,3,2,3,2,3,3)</f>
        <v>2.8333333333333335</v>
      </c>
      <c r="JB11" s="32">
        <v>3</v>
      </c>
      <c r="JC11" s="32">
        <v>1</v>
      </c>
      <c r="JD11" s="33">
        <f t="shared" si="54"/>
        <v>7.8333333333333339</v>
      </c>
      <c r="JE11" s="32">
        <f>MEDIAN(3,3,3,3,3,3,3,3,2,3,3,3,3,2,3,2,3,3)</f>
        <v>3</v>
      </c>
      <c r="JF11">
        <f t="shared" si="55"/>
        <v>8</v>
      </c>
      <c r="JH11" s="165">
        <v>8</v>
      </c>
      <c r="JI11" s="32">
        <v>0</v>
      </c>
      <c r="JJ11" s="32">
        <f>MEDIAN(2,2,2,2,3,3,3,3,3,3,3,3,2)</f>
        <v>3</v>
      </c>
      <c r="JK11" s="32">
        <v>3</v>
      </c>
      <c r="JL11" s="32">
        <v>3</v>
      </c>
      <c r="JM11" s="33">
        <f t="shared" si="56"/>
        <v>9</v>
      </c>
      <c r="JN11" s="32">
        <f>MEDIAN(2,2,2,2,3,3,3,3,3,3,3,3,2)</f>
        <v>3</v>
      </c>
      <c r="JO11">
        <f t="shared" si="57"/>
        <v>9</v>
      </c>
      <c r="JQ11" s="165">
        <v>8</v>
      </c>
      <c r="JR11" s="32">
        <v>0</v>
      </c>
      <c r="JS11" s="32">
        <f>MEDIAN(3,2,3,3,2,2)</f>
        <v>2.5</v>
      </c>
      <c r="JT11" s="32">
        <v>0</v>
      </c>
      <c r="JU11" s="32">
        <v>1</v>
      </c>
      <c r="JV11" s="33">
        <f t="shared" si="58"/>
        <v>3.5</v>
      </c>
      <c r="JW11" s="32">
        <f>MEDIAN(3,2,3,3,2,2)</f>
        <v>2.5</v>
      </c>
      <c r="JX11">
        <f t="shared" si="59"/>
        <v>3.5</v>
      </c>
      <c r="JZ11" s="165">
        <v>8</v>
      </c>
      <c r="KA11" s="32">
        <v>0</v>
      </c>
      <c r="KB11" s="32">
        <f>AVERAGE(3,3,3,3,3,3,2,3,3,2,3)</f>
        <v>2.8181818181818183</v>
      </c>
      <c r="KC11" s="32">
        <v>1</v>
      </c>
      <c r="KD11" s="32">
        <v>1</v>
      </c>
      <c r="KE11" s="33">
        <f t="shared" si="60"/>
        <v>4.8181818181818183</v>
      </c>
      <c r="KF11" s="32">
        <f>MEDIAN(3,3,3,3,3,3,2,3,3,2,3)</f>
        <v>3</v>
      </c>
      <c r="KG11">
        <f t="shared" si="61"/>
        <v>5</v>
      </c>
      <c r="KI11" s="165">
        <v>8</v>
      </c>
      <c r="KJ11" s="32">
        <v>0</v>
      </c>
      <c r="KK11" s="32">
        <f>AVERAGE(3,2,3,3,3,2,3,3,2,3)</f>
        <v>2.7</v>
      </c>
      <c r="KL11" s="32">
        <v>3</v>
      </c>
      <c r="KM11" s="32">
        <v>1</v>
      </c>
      <c r="KN11" s="33">
        <f t="shared" si="62"/>
        <v>6.7</v>
      </c>
      <c r="KO11" s="32">
        <f>MEDIAN(3,2,3,3,3,2,3,3,2,3)</f>
        <v>3</v>
      </c>
      <c r="KP11">
        <f t="shared" si="63"/>
        <v>7</v>
      </c>
      <c r="KR11" s="165">
        <v>8</v>
      </c>
      <c r="KS11" s="32">
        <v>2</v>
      </c>
      <c r="KT11" s="32">
        <f>AVERAGE(3,3,3,3,3,3,3)</f>
        <v>3</v>
      </c>
      <c r="KU11" s="32">
        <v>3</v>
      </c>
      <c r="KV11" s="32">
        <v>3</v>
      </c>
      <c r="KW11" s="33">
        <f t="shared" si="64"/>
        <v>11</v>
      </c>
      <c r="KX11" s="32">
        <f>MEDIAN(3,3,3,3,3,3,3)</f>
        <v>3</v>
      </c>
      <c r="KY11">
        <f t="shared" si="65"/>
        <v>11</v>
      </c>
      <c r="LA11" s="165">
        <v>8</v>
      </c>
      <c r="LB11" s="32">
        <v>1</v>
      </c>
      <c r="LC11" s="32">
        <f>AVERAGE(3,3,2,3,3,2)</f>
        <v>2.6666666666666665</v>
      </c>
      <c r="LD11" s="32">
        <v>2</v>
      </c>
      <c r="LE11" s="32">
        <v>2</v>
      </c>
      <c r="LF11" s="33">
        <f t="shared" si="66"/>
        <v>7.6666666666666661</v>
      </c>
      <c r="LG11" s="32">
        <f>MEDIAN(3,3,2,3,3,2)</f>
        <v>3</v>
      </c>
      <c r="LH11">
        <f t="shared" si="67"/>
        <v>8</v>
      </c>
      <c r="LK11" s="165">
        <v>8</v>
      </c>
      <c r="LL11" s="32">
        <v>0</v>
      </c>
      <c r="LM11" s="32">
        <f>AVERAGE(2,2,2,3,3,2,2,2,2,2)</f>
        <v>2.2000000000000002</v>
      </c>
      <c r="LN11" s="32">
        <v>2</v>
      </c>
      <c r="LO11" s="32">
        <v>1</v>
      </c>
      <c r="LP11" s="33">
        <f t="shared" si="68"/>
        <v>5.2</v>
      </c>
      <c r="LQ11" s="32">
        <f>MEDIAN(2,2,2,3,3,2,2,2,2,2)</f>
        <v>2</v>
      </c>
      <c r="LR11">
        <f t="shared" si="69"/>
        <v>5</v>
      </c>
      <c r="LT11" s="165">
        <v>8</v>
      </c>
      <c r="LU11" s="32">
        <v>2</v>
      </c>
      <c r="LV11" s="32">
        <f>AVERAGE(3,3,3,2,3,3,3)</f>
        <v>2.8571428571428572</v>
      </c>
      <c r="LW11" s="32">
        <v>2</v>
      </c>
      <c r="LX11" s="32">
        <v>1</v>
      </c>
      <c r="LY11" s="33">
        <f t="shared" si="70"/>
        <v>7.8571428571428577</v>
      </c>
      <c r="LZ11" s="32">
        <f>MEDIAN(3,3,3,2,3,3,3)</f>
        <v>3</v>
      </c>
      <c r="MA11">
        <f t="shared" si="71"/>
        <v>8</v>
      </c>
      <c r="MC11" s="165">
        <v>8</v>
      </c>
      <c r="MD11" s="32">
        <v>1</v>
      </c>
      <c r="ME11" s="32">
        <f>AVERAGE(3,2,3,2)</f>
        <v>2.5</v>
      </c>
      <c r="MF11" s="32">
        <v>3</v>
      </c>
      <c r="MG11" s="32">
        <v>1</v>
      </c>
      <c r="MH11" s="33">
        <f t="shared" si="72"/>
        <v>7.5</v>
      </c>
      <c r="MI11" s="32">
        <f>MEDIAN(3,2,3,2)</f>
        <v>2.5</v>
      </c>
      <c r="MJ11">
        <f t="shared" si="73"/>
        <v>7.5</v>
      </c>
      <c r="ML11" s="165">
        <v>8</v>
      </c>
      <c r="MM11" s="32">
        <v>1</v>
      </c>
      <c r="MN11" s="32">
        <f>AVERAGE(3,3,3,3,3,3,3,3,3,3,3,3,3,3,3,3,3,3,3,3,3,2,2,3,3)</f>
        <v>2.92</v>
      </c>
      <c r="MO11" s="32">
        <v>2</v>
      </c>
      <c r="MP11" s="32">
        <v>2</v>
      </c>
      <c r="MQ11" s="33">
        <f t="shared" si="74"/>
        <v>7.92</v>
      </c>
      <c r="MR11" s="32">
        <f>MEDIAN(3,3,3,3,3,3,3,3,3,3,3,3,3,3,3,3,3,3,3,3,3,2,2,3,3)</f>
        <v>3</v>
      </c>
      <c r="MS11">
        <f t="shared" si="75"/>
        <v>8</v>
      </c>
      <c r="MU11" s="165">
        <v>8</v>
      </c>
      <c r="MV11" s="32">
        <v>1</v>
      </c>
      <c r="MW11" s="32">
        <f>MEDIAN(3,3,3,3,3,3,3,3)</f>
        <v>3</v>
      </c>
      <c r="MX11" s="32">
        <v>3</v>
      </c>
      <c r="MY11" s="32">
        <v>1</v>
      </c>
      <c r="MZ11" s="33">
        <f t="shared" si="76"/>
        <v>8</v>
      </c>
      <c r="NA11" s="32">
        <f>MEDIAN(3,3,3,3,3,3,3,3)</f>
        <v>3</v>
      </c>
      <c r="NB11">
        <f t="shared" si="77"/>
        <v>8</v>
      </c>
      <c r="ND11" s="165">
        <v>8</v>
      </c>
      <c r="NE11" s="32">
        <v>1</v>
      </c>
      <c r="NF11" s="32">
        <f>MEDIAN(2,3,2,3,2)</f>
        <v>2</v>
      </c>
      <c r="NG11" s="32">
        <v>1</v>
      </c>
      <c r="NH11" s="32">
        <v>1</v>
      </c>
      <c r="NI11" s="33">
        <f t="shared" si="78"/>
        <v>5</v>
      </c>
      <c r="NJ11" s="32">
        <f>MEDIAN(2,3,2,3,2)</f>
        <v>2</v>
      </c>
      <c r="NK11">
        <f t="shared" si="79"/>
        <v>5</v>
      </c>
      <c r="NM11" s="165">
        <v>8</v>
      </c>
      <c r="NN11" s="32">
        <v>2</v>
      </c>
      <c r="NO11" s="32">
        <f>AVERAGE(3,3,3,2,3,3,3,3,3,3,3,2,3,3,3)</f>
        <v>2.8666666666666667</v>
      </c>
      <c r="NP11" s="32">
        <v>2</v>
      </c>
      <c r="NQ11" s="32">
        <v>2</v>
      </c>
      <c r="NR11" s="33">
        <f t="shared" si="80"/>
        <v>8.8666666666666671</v>
      </c>
      <c r="NS11" s="32">
        <f>MEDIAN(3,3,3,2,3,3,3,3,3,3,3,2,3,3,3)</f>
        <v>3</v>
      </c>
      <c r="NT11">
        <f t="shared" si="81"/>
        <v>9</v>
      </c>
      <c r="NV11" s="165">
        <v>8</v>
      </c>
      <c r="NW11" s="32">
        <v>2</v>
      </c>
      <c r="NX11" s="32">
        <f>AVERAGE(3,3,3)</f>
        <v>3</v>
      </c>
      <c r="NY11" s="32" t="s">
        <v>31</v>
      </c>
      <c r="NZ11" s="32">
        <v>2</v>
      </c>
      <c r="OA11" s="33">
        <f t="shared" si="82"/>
        <v>7</v>
      </c>
      <c r="OB11" s="32">
        <f>MEDIAN(3,3,3)</f>
        <v>3</v>
      </c>
      <c r="OC11">
        <f t="shared" si="83"/>
        <v>7</v>
      </c>
      <c r="OD11">
        <f>OC11*(4/3)</f>
        <v>9.3333333333333321</v>
      </c>
      <c r="OE11" s="165">
        <v>8</v>
      </c>
      <c r="OF11" s="32">
        <v>1</v>
      </c>
      <c r="OG11" s="32">
        <f>MEDIAN(3,3,3,3,2,2)</f>
        <v>3</v>
      </c>
      <c r="OH11" s="32">
        <v>3</v>
      </c>
      <c r="OI11" s="32">
        <v>1</v>
      </c>
      <c r="OJ11" s="33">
        <f t="shared" si="84"/>
        <v>8</v>
      </c>
      <c r="OK11" s="32">
        <f>MEDIAN(3,3,3,3,2,2)</f>
        <v>3</v>
      </c>
      <c r="OL11">
        <f t="shared" si="85"/>
        <v>8</v>
      </c>
      <c r="ON11" s="165">
        <v>8</v>
      </c>
      <c r="OO11" s="32">
        <v>3</v>
      </c>
      <c r="OP11" s="32">
        <f>MEDIAN(3,3,2,2,3,3,3)</f>
        <v>3</v>
      </c>
      <c r="OQ11" s="32">
        <v>3</v>
      </c>
      <c r="OR11" s="32">
        <v>3</v>
      </c>
      <c r="OS11" s="33">
        <f t="shared" si="86"/>
        <v>12</v>
      </c>
      <c r="OT11" s="32">
        <f>MEDIAN(3,3,2,2,3,3,3)</f>
        <v>3</v>
      </c>
      <c r="OU11">
        <f t="shared" si="87"/>
        <v>12</v>
      </c>
      <c r="OW11" s="165">
        <v>8</v>
      </c>
      <c r="OX11" s="32">
        <v>0</v>
      </c>
      <c r="OY11" s="32">
        <f>AVERAGE(3,2,2,2,3,3)</f>
        <v>2.5</v>
      </c>
      <c r="OZ11" s="32">
        <v>2</v>
      </c>
      <c r="PA11" s="32">
        <v>1</v>
      </c>
      <c r="PB11" s="33">
        <f t="shared" si="88"/>
        <v>5.5</v>
      </c>
      <c r="PC11" s="32">
        <f>MEDIAN(3,2,2,2,3,3)</f>
        <v>2.5</v>
      </c>
      <c r="PD11">
        <f t="shared" si="89"/>
        <v>5.5</v>
      </c>
      <c r="PF11" s="165">
        <v>8</v>
      </c>
      <c r="PG11" s="32">
        <v>1</v>
      </c>
      <c r="PH11" s="32">
        <f>AVERAGE(2,2)</f>
        <v>2</v>
      </c>
      <c r="PI11" s="32">
        <v>2</v>
      </c>
      <c r="PJ11" s="32">
        <v>2</v>
      </c>
      <c r="PK11" s="33">
        <f t="shared" si="90"/>
        <v>7</v>
      </c>
      <c r="PL11" s="32">
        <f>MEDIAN(2,2)</f>
        <v>2</v>
      </c>
      <c r="PM11">
        <f t="shared" si="91"/>
        <v>7</v>
      </c>
      <c r="PO11" s="165">
        <v>8</v>
      </c>
      <c r="PP11" s="32">
        <v>0</v>
      </c>
      <c r="PQ11" s="32">
        <f>MEDIAN(2,2,2,2)</f>
        <v>2</v>
      </c>
      <c r="PR11" s="32">
        <v>2</v>
      </c>
      <c r="PS11" s="32">
        <v>1</v>
      </c>
      <c r="PT11" s="33">
        <f t="shared" si="92"/>
        <v>5</v>
      </c>
      <c r="PV11" s="165">
        <v>8</v>
      </c>
      <c r="PW11" s="32">
        <v>1</v>
      </c>
      <c r="PX11" s="32">
        <f>MEDIAN(2,3,3,2,2)</f>
        <v>2</v>
      </c>
      <c r="PY11" s="32">
        <v>0</v>
      </c>
      <c r="PZ11" s="32">
        <v>0</v>
      </c>
      <c r="QA11" s="33">
        <f t="shared" si="93"/>
        <v>3</v>
      </c>
      <c r="QB11" s="32">
        <f>MEDIAN(2,3,3,2,2)</f>
        <v>2</v>
      </c>
      <c r="QC11">
        <f t="shared" si="94"/>
        <v>3</v>
      </c>
      <c r="QE11" s="165">
        <v>8</v>
      </c>
      <c r="QF11" s="32">
        <v>1</v>
      </c>
      <c r="QG11" s="32">
        <f>MEDIAN(3,2,3,2,3,3,1,2)</f>
        <v>2.5</v>
      </c>
      <c r="QH11" s="32">
        <v>1</v>
      </c>
      <c r="QI11" s="32">
        <v>1</v>
      </c>
      <c r="QJ11" s="33">
        <f t="shared" si="95"/>
        <v>5.5</v>
      </c>
      <c r="QK11" s="32">
        <f>MEDIAN(3,2,3,2,3,3,1,2)</f>
        <v>2.5</v>
      </c>
      <c r="QL11">
        <f t="shared" si="96"/>
        <v>5.5</v>
      </c>
      <c r="QN11" s="165">
        <v>8</v>
      </c>
      <c r="QO11" s="32">
        <v>2</v>
      </c>
      <c r="QP11" s="32">
        <f>MEDIAN(2,2,3,2,3,3,3,3,3)</f>
        <v>3</v>
      </c>
      <c r="QQ11" s="32">
        <v>3</v>
      </c>
      <c r="QR11" s="32">
        <v>2</v>
      </c>
      <c r="QS11" s="33">
        <f t="shared" si="97"/>
        <v>10</v>
      </c>
      <c r="QT11" s="32">
        <f>MEDIAN(2,2,3,2,3,3,3,3,3)</f>
        <v>3</v>
      </c>
      <c r="QU11">
        <f t="shared" si="98"/>
        <v>10</v>
      </c>
      <c r="QW11" s="165">
        <v>8</v>
      </c>
      <c r="QX11" s="32">
        <v>1</v>
      </c>
      <c r="QY11" s="32">
        <f>AVERAGE(2,2,3,2,3,2,2,3,2,2,2,3,3,2,2,3,3)</f>
        <v>2.4117647058823528</v>
      </c>
      <c r="QZ11" s="32">
        <v>2</v>
      </c>
      <c r="RA11" s="32">
        <v>1</v>
      </c>
      <c r="RB11" s="33">
        <f t="shared" si="99"/>
        <v>6.4117647058823533</v>
      </c>
      <c r="RC11" s="32">
        <f>MEDIAN(2,2,3,2,3,2,2,3,2,2,2,3,3,2,2,3,3)</f>
        <v>2</v>
      </c>
      <c r="RD11">
        <f t="shared" si="100"/>
        <v>6</v>
      </c>
      <c r="RF11" s="165">
        <v>8</v>
      </c>
      <c r="RG11" s="32">
        <v>1</v>
      </c>
      <c r="RH11" s="32">
        <f>AVERAGE(3,3,3,2,3,3,3,3,3)</f>
        <v>2.8888888888888888</v>
      </c>
      <c r="RI11" s="32">
        <v>0</v>
      </c>
      <c r="RJ11" s="32">
        <v>0</v>
      </c>
      <c r="RK11" s="33">
        <f t="shared" si="101"/>
        <v>3.8888888888888888</v>
      </c>
      <c r="RL11" s="32">
        <f>MEDIAN(3,3,3,2,3,3,3,3,3)</f>
        <v>3</v>
      </c>
      <c r="RM11">
        <f t="shared" si="102"/>
        <v>4</v>
      </c>
      <c r="RO11" s="165">
        <v>8</v>
      </c>
      <c r="RP11" s="32">
        <v>1</v>
      </c>
      <c r="RQ11" s="32">
        <f>AVERAGE(3,3,2,2,3)</f>
        <v>2.6</v>
      </c>
      <c r="RR11" s="32">
        <v>1</v>
      </c>
      <c r="RS11" s="32">
        <v>1</v>
      </c>
      <c r="RT11" s="33">
        <f t="shared" si="103"/>
        <v>5.6</v>
      </c>
      <c r="RU11" s="32">
        <f>MEDIAN(3,3,2,2,3)</f>
        <v>3</v>
      </c>
      <c r="RV11">
        <f t="shared" si="104"/>
        <v>6</v>
      </c>
      <c r="RX11" s="165">
        <v>8</v>
      </c>
      <c r="RY11" s="32">
        <v>0</v>
      </c>
      <c r="RZ11" s="32">
        <f>AVERAGE(2,2,2,2,3,3,3,3,3)</f>
        <v>2.5555555555555554</v>
      </c>
      <c r="SA11" s="32">
        <v>3</v>
      </c>
      <c r="SB11" s="32">
        <v>3</v>
      </c>
      <c r="SC11" s="33">
        <f t="shared" si="105"/>
        <v>8.5555555555555554</v>
      </c>
      <c r="SD11" s="32">
        <f>MEDIAN(2,2,2,2,3,3,3,3,3)</f>
        <v>3</v>
      </c>
      <c r="SE11">
        <f t="shared" si="106"/>
        <v>9</v>
      </c>
      <c r="SG11" s="165">
        <v>8</v>
      </c>
      <c r="SH11" s="32">
        <v>1</v>
      </c>
      <c r="SI11" s="32">
        <f>MEDIAN(2,3,3,3,2,3,2,2,3,2,3,2,1,1,1)</f>
        <v>2</v>
      </c>
      <c r="SJ11" s="32">
        <v>1</v>
      </c>
      <c r="SK11" s="32">
        <v>0</v>
      </c>
      <c r="SL11" s="33">
        <f t="shared" si="107"/>
        <v>4</v>
      </c>
      <c r="SM11" s="32">
        <f>MEDIAN(2,3,3,3,2,3,2,2,3,2,3,2,1,1,1)</f>
        <v>2</v>
      </c>
      <c r="SN11">
        <f t="shared" si="108"/>
        <v>4</v>
      </c>
      <c r="SP11" s="165">
        <v>8</v>
      </c>
      <c r="SQ11" s="32">
        <v>2</v>
      </c>
      <c r="SR11" s="32">
        <f>MEDIAN(3,2,3,3,3,2,3,2,2,3,3)</f>
        <v>3</v>
      </c>
      <c r="SS11" s="32">
        <v>2</v>
      </c>
      <c r="ST11" s="32">
        <v>1</v>
      </c>
      <c r="SU11" s="33">
        <f t="shared" si="109"/>
        <v>8</v>
      </c>
      <c r="SV11" s="32">
        <f>MEDIAN(3,2,3,3,3,2,3,2,2,3,3)</f>
        <v>3</v>
      </c>
      <c r="SW11">
        <f t="shared" si="110"/>
        <v>8</v>
      </c>
      <c r="SY11" s="165">
        <v>8</v>
      </c>
      <c r="SZ11" s="32">
        <v>1</v>
      </c>
      <c r="TA11" s="32">
        <f>AVERAGE(3,3,2,2)</f>
        <v>2.5</v>
      </c>
      <c r="TB11" s="32">
        <v>1</v>
      </c>
      <c r="TC11" s="32">
        <v>0</v>
      </c>
      <c r="TD11" s="33">
        <f t="shared" si="111"/>
        <v>4.5</v>
      </c>
      <c r="TE11" s="32">
        <f>MEDIAN(3,3,2,2)</f>
        <v>2.5</v>
      </c>
      <c r="TF11">
        <f t="shared" si="112"/>
        <v>4.5</v>
      </c>
      <c r="TH11" s="165">
        <v>8</v>
      </c>
      <c r="TI11" s="32">
        <v>2</v>
      </c>
      <c r="TJ11" s="32">
        <f>MEDIAN(3,2,2)</f>
        <v>2</v>
      </c>
      <c r="TK11" s="32">
        <v>3</v>
      </c>
      <c r="TL11" s="32">
        <v>3</v>
      </c>
      <c r="TM11" s="33">
        <f t="shared" si="113"/>
        <v>10</v>
      </c>
      <c r="TN11" s="32">
        <f>MEDIAN(3,2,2)</f>
        <v>2</v>
      </c>
      <c r="TO11">
        <f t="shared" si="114"/>
        <v>10</v>
      </c>
      <c r="TQ11" s="165">
        <v>8</v>
      </c>
      <c r="TR11" s="32">
        <v>2</v>
      </c>
      <c r="TS11" s="32">
        <f>MEDIAN(3,2,3,3,2,2,2,3,3)</f>
        <v>3</v>
      </c>
      <c r="TT11" s="32">
        <v>3</v>
      </c>
      <c r="TU11" s="32">
        <v>3</v>
      </c>
      <c r="TV11" s="33">
        <f t="shared" si="115"/>
        <v>11</v>
      </c>
      <c r="TX11" s="165">
        <v>8</v>
      </c>
      <c r="TY11" s="32">
        <v>1</v>
      </c>
      <c r="TZ11" s="32">
        <f>MEDIAN(3,3,2,3,3,3,3,3,3)</f>
        <v>3</v>
      </c>
      <c r="UA11" s="32">
        <v>2</v>
      </c>
      <c r="UB11" s="32">
        <v>1</v>
      </c>
      <c r="UC11" s="33">
        <f t="shared" si="116"/>
        <v>7</v>
      </c>
      <c r="UD11" s="32">
        <f>MEDIAN(3,3,2,3,3,3,3,3,3)</f>
        <v>3</v>
      </c>
      <c r="UE11">
        <f t="shared" si="117"/>
        <v>7</v>
      </c>
      <c r="UG11" s="165">
        <v>8</v>
      </c>
      <c r="UH11" s="32">
        <v>0</v>
      </c>
      <c r="UI11" s="32">
        <f>MEDIAN(3,1,2,3,3,3,3,3,2,3,3,3)</f>
        <v>3</v>
      </c>
      <c r="UJ11" s="32">
        <v>3</v>
      </c>
      <c r="UK11" s="32">
        <v>2</v>
      </c>
      <c r="UL11" s="33">
        <f t="shared" si="118"/>
        <v>8</v>
      </c>
      <c r="UN11" s="165">
        <v>8</v>
      </c>
      <c r="UO11" s="32">
        <v>2</v>
      </c>
      <c r="UP11" s="32">
        <f>AVERAGE(3,2,3,3,2,1,2,2)</f>
        <v>2.25</v>
      </c>
      <c r="UQ11" s="32">
        <v>3</v>
      </c>
      <c r="UR11" s="32">
        <v>2</v>
      </c>
      <c r="US11" s="33">
        <f t="shared" si="119"/>
        <v>9.25</v>
      </c>
      <c r="UT11" s="32">
        <f>MEDIAN(3,2,3,3,2,1,2,2)</f>
        <v>2</v>
      </c>
      <c r="UU11">
        <f t="shared" si="120"/>
        <v>9</v>
      </c>
      <c r="UW11" s="165">
        <v>8</v>
      </c>
      <c r="UX11" s="32">
        <v>1</v>
      </c>
      <c r="UY11" s="32">
        <f>AVERAGE(3,3,3,2,3,3,3,3,2,3,3,2,3)</f>
        <v>2.7692307692307692</v>
      </c>
      <c r="UZ11" s="32">
        <v>1</v>
      </c>
      <c r="VA11" s="32">
        <v>1</v>
      </c>
      <c r="VB11" s="33">
        <f t="shared" si="121"/>
        <v>5.7692307692307692</v>
      </c>
      <c r="VC11" s="32">
        <f>MEDIAN(3,3,3,2,3,3,3,3,2,3,3,2,3)</f>
        <v>3</v>
      </c>
      <c r="VD11">
        <f t="shared" si="122"/>
        <v>6</v>
      </c>
      <c r="VF11" s="165">
        <v>8</v>
      </c>
      <c r="VG11" s="32">
        <v>1</v>
      </c>
      <c r="VH11" s="32">
        <f>AVERAGE(3,3)</f>
        <v>3</v>
      </c>
      <c r="VI11" s="32">
        <v>2</v>
      </c>
      <c r="VJ11" s="32">
        <v>1</v>
      </c>
      <c r="VK11" s="33">
        <f t="shared" si="123"/>
        <v>7</v>
      </c>
      <c r="VL11" s="32">
        <f>MEDIAN(3,3)</f>
        <v>3</v>
      </c>
      <c r="VM11">
        <f t="shared" si="124"/>
        <v>7</v>
      </c>
      <c r="VO11" s="165">
        <v>8</v>
      </c>
      <c r="VP11" s="32">
        <v>2</v>
      </c>
      <c r="VQ11" s="32">
        <f>AVERAGE(3,3,2,3,3,3)</f>
        <v>2.8333333333333335</v>
      </c>
      <c r="VR11" s="32">
        <v>3</v>
      </c>
      <c r="VS11" s="32">
        <v>2</v>
      </c>
      <c r="VT11" s="33">
        <f t="shared" si="125"/>
        <v>9.8333333333333339</v>
      </c>
      <c r="VU11" s="32">
        <f>MEDIAN(3,3,2,3,3,3)</f>
        <v>3</v>
      </c>
      <c r="VV11">
        <f t="shared" si="126"/>
        <v>10</v>
      </c>
    </row>
    <row r="12" spans="2:594" ht="15" thickBot="1" x14ac:dyDescent="0.4">
      <c r="B12" s="165">
        <v>9</v>
      </c>
      <c r="C12" s="32">
        <v>0</v>
      </c>
      <c r="D12" s="32">
        <f>AVERAGE(2,2,3,1,2,1,2,2,2,2,2,2,2,2,2,2)</f>
        <v>1.9375</v>
      </c>
      <c r="E12" s="26">
        <v>1</v>
      </c>
      <c r="F12" s="32">
        <v>1</v>
      </c>
      <c r="G12" s="33">
        <f t="shared" si="0"/>
        <v>3.9375</v>
      </c>
      <c r="H12" s="32">
        <f>MEDIAN(2,2,3,1,2,1,2,2,2,2,2,2,2,2,2,2)</f>
        <v>2</v>
      </c>
      <c r="I12" s="75">
        <f t="shared" si="1"/>
        <v>4</v>
      </c>
      <c r="K12" s="165">
        <v>9</v>
      </c>
      <c r="L12" s="32">
        <v>1</v>
      </c>
      <c r="M12" s="32">
        <f>AVERAGE(2,3,1,1,3,3)</f>
        <v>2.1666666666666665</v>
      </c>
      <c r="N12" s="26">
        <v>3</v>
      </c>
      <c r="O12" s="32">
        <v>2</v>
      </c>
      <c r="P12" s="33">
        <f t="shared" si="2"/>
        <v>8.1666666666666661</v>
      </c>
      <c r="Q12" s="32">
        <f>MEDIAN(2,3,1,1,3,3)</f>
        <v>2.5</v>
      </c>
      <c r="R12" s="75">
        <f t="shared" si="3"/>
        <v>8.5</v>
      </c>
      <c r="T12" s="165">
        <v>9</v>
      </c>
      <c r="U12" s="32">
        <v>0</v>
      </c>
      <c r="V12" s="32">
        <f>AVERAGE(3,3,3,2,2,3,3,2)</f>
        <v>2.625</v>
      </c>
      <c r="W12" s="26">
        <v>1</v>
      </c>
      <c r="X12" s="32">
        <v>2</v>
      </c>
      <c r="Y12" s="32">
        <f>MEDIAN(3,3,3,2,2,3,3,2)</f>
        <v>3</v>
      </c>
      <c r="Z12" s="18">
        <f t="shared" si="4"/>
        <v>6</v>
      </c>
      <c r="AB12" s="165">
        <v>9</v>
      </c>
      <c r="AC12" s="32">
        <v>1</v>
      </c>
      <c r="AD12" s="32">
        <f>AVERAGE(2,2,3,3,3,2,2)</f>
        <v>2.4285714285714284</v>
      </c>
      <c r="AE12" s="26">
        <v>3</v>
      </c>
      <c r="AF12" s="32">
        <v>2</v>
      </c>
      <c r="AG12" s="32">
        <f>MEDIAN(2,2,3,3,3,2,2)</f>
        <v>2</v>
      </c>
      <c r="AH12" s="18">
        <f t="shared" si="5"/>
        <v>8</v>
      </c>
      <c r="AJ12" s="165">
        <v>9</v>
      </c>
      <c r="AK12" s="32">
        <v>0</v>
      </c>
      <c r="AL12" s="32">
        <f>AVERAGE(2,3,2,2,2,2,3,3,3)</f>
        <v>2.4444444444444446</v>
      </c>
      <c r="AM12" s="26">
        <v>0</v>
      </c>
      <c r="AN12" s="32">
        <v>1</v>
      </c>
      <c r="AO12" s="33">
        <f t="shared" si="6"/>
        <v>3.4444444444444446</v>
      </c>
      <c r="AP12" s="32">
        <f>MEDIAN(2,3,2,2,2,2,3,3,3)</f>
        <v>2</v>
      </c>
      <c r="AQ12" s="75">
        <f t="shared" si="7"/>
        <v>3</v>
      </c>
      <c r="AS12" s="165">
        <v>9</v>
      </c>
      <c r="AT12" s="32">
        <v>2</v>
      </c>
      <c r="AU12" s="32">
        <f>AVERAGE(2,2,2,3,2)</f>
        <v>2.2000000000000002</v>
      </c>
      <c r="AV12" s="26">
        <v>2</v>
      </c>
      <c r="AW12" s="32">
        <v>2</v>
      </c>
      <c r="AX12" s="33">
        <f t="shared" si="8"/>
        <v>8.1999999999999993</v>
      </c>
      <c r="AY12" s="32">
        <f>MEDIAN(2,2,2,3,2)</f>
        <v>2</v>
      </c>
      <c r="AZ12" s="75">
        <f t="shared" si="9"/>
        <v>8</v>
      </c>
      <c r="BB12" s="165">
        <v>9</v>
      </c>
      <c r="BC12" s="32">
        <v>1</v>
      </c>
      <c r="BD12" s="32">
        <f>MEDIAN(3,3,2,2,3,2,2,2,2,2,2,3,2,3)</f>
        <v>2</v>
      </c>
      <c r="BE12" s="26">
        <v>1</v>
      </c>
      <c r="BF12" s="32">
        <v>1</v>
      </c>
      <c r="BG12" s="33">
        <f t="shared" si="10"/>
        <v>5</v>
      </c>
      <c r="BH12" s="32">
        <f>MEDIAN(3,3,2,2,3,2,2,2,2,2,2,3,2,3)</f>
        <v>2</v>
      </c>
      <c r="BI12" s="75">
        <f t="shared" si="11"/>
        <v>5</v>
      </c>
      <c r="BK12" s="165">
        <v>9</v>
      </c>
      <c r="BL12" s="32">
        <v>1</v>
      </c>
      <c r="BM12" s="32">
        <f>MEDIAN(2,2,3,3,3)</f>
        <v>3</v>
      </c>
      <c r="BN12" s="26">
        <v>2</v>
      </c>
      <c r="BO12" s="32">
        <v>1</v>
      </c>
      <c r="BP12" s="33">
        <f t="shared" si="12"/>
        <v>7</v>
      </c>
      <c r="BQ12" s="32">
        <f>MEDIAN(2,2,3,3,3)</f>
        <v>3</v>
      </c>
      <c r="BR12" s="75">
        <f t="shared" si="13"/>
        <v>7</v>
      </c>
      <c r="BT12" s="165">
        <v>9</v>
      </c>
      <c r="BU12" s="32">
        <v>3</v>
      </c>
      <c r="BV12" s="32">
        <f>MEDIAN(3,3,2)</f>
        <v>3</v>
      </c>
      <c r="BW12" s="26">
        <v>3</v>
      </c>
      <c r="BX12" s="32">
        <v>2</v>
      </c>
      <c r="BY12" s="33">
        <f t="shared" si="14"/>
        <v>11</v>
      </c>
      <c r="CB12" s="165">
        <v>9</v>
      </c>
      <c r="CC12" s="32">
        <v>0</v>
      </c>
      <c r="CD12" s="32">
        <f>MEDIAN(3,3,3,3)</f>
        <v>3</v>
      </c>
      <c r="CE12" s="26">
        <v>1</v>
      </c>
      <c r="CF12" s="32">
        <v>1</v>
      </c>
      <c r="CG12" s="33">
        <f t="shared" si="15"/>
        <v>5</v>
      </c>
      <c r="CJ12" s="165">
        <v>9</v>
      </c>
      <c r="CK12" s="32">
        <v>1</v>
      </c>
      <c r="CL12" s="32">
        <f>MEDIAN(3,2,3,3,2,2,2,2,3,3,3)</f>
        <v>3</v>
      </c>
      <c r="CM12" s="26">
        <v>2</v>
      </c>
      <c r="CN12" s="32">
        <v>2</v>
      </c>
      <c r="CO12" s="33">
        <f t="shared" si="16"/>
        <v>8</v>
      </c>
      <c r="CP12" s="32">
        <f>MEDIAN(3,2,3,3,2,2,2,2,3,3,3)</f>
        <v>3</v>
      </c>
      <c r="CQ12" s="75">
        <f t="shared" si="17"/>
        <v>8</v>
      </c>
      <c r="CS12" s="165">
        <v>9</v>
      </c>
      <c r="CT12" s="32">
        <v>2</v>
      </c>
      <c r="CU12" s="32">
        <f>MEDIAN(3,3,3)</f>
        <v>3</v>
      </c>
      <c r="CV12" s="26">
        <v>3</v>
      </c>
      <c r="CW12" s="32">
        <v>2</v>
      </c>
      <c r="CX12" s="33">
        <f t="shared" si="18"/>
        <v>10</v>
      </c>
      <c r="CY12" s="32">
        <f>MEDIAN(3,3,3)</f>
        <v>3</v>
      </c>
      <c r="CZ12" s="75">
        <f t="shared" si="19"/>
        <v>10</v>
      </c>
      <c r="DB12" s="165">
        <v>9</v>
      </c>
      <c r="DC12" s="32">
        <v>1</v>
      </c>
      <c r="DD12" s="32">
        <f>AVERAGE(3,3,2,2,2,2,2)</f>
        <v>2.2857142857142856</v>
      </c>
      <c r="DE12" s="26">
        <v>2</v>
      </c>
      <c r="DF12" s="32">
        <v>0</v>
      </c>
      <c r="DG12" s="33">
        <f t="shared" si="20"/>
        <v>5.2857142857142856</v>
      </c>
      <c r="DH12" s="32">
        <f>MEDIAN(3,3,2,2,2,2,2)</f>
        <v>2</v>
      </c>
      <c r="DI12" s="75">
        <f t="shared" si="21"/>
        <v>5</v>
      </c>
      <c r="DK12" s="165">
        <v>9</v>
      </c>
      <c r="DL12" s="32">
        <v>0</v>
      </c>
      <c r="DM12" s="32">
        <f>AVERAGE(3,3,3,3,2,2,2)</f>
        <v>2.5714285714285716</v>
      </c>
      <c r="DN12" s="26">
        <v>3</v>
      </c>
      <c r="DO12" s="32">
        <v>2</v>
      </c>
      <c r="DP12" s="33">
        <f t="shared" si="22"/>
        <v>7.5714285714285712</v>
      </c>
      <c r="DQ12" s="32">
        <f>MEDIAN(3,3,3,3,2,2,2)</f>
        <v>3</v>
      </c>
      <c r="DR12" s="75">
        <f t="shared" si="23"/>
        <v>8</v>
      </c>
      <c r="DT12" s="165">
        <v>9</v>
      </c>
      <c r="DU12" s="32">
        <v>1</v>
      </c>
      <c r="DV12" s="32">
        <f>AVERAGE(2,3,2,2,3,2,2,2)</f>
        <v>2.25</v>
      </c>
      <c r="DW12" s="26">
        <v>3</v>
      </c>
      <c r="DX12" s="32">
        <v>1</v>
      </c>
      <c r="DY12" s="33">
        <f t="shared" si="24"/>
        <v>7.25</v>
      </c>
      <c r="DZ12" s="32">
        <f>MEDIAN(2,3,2,2,3,2,2,2)</f>
        <v>2</v>
      </c>
      <c r="EA12" s="75">
        <f t="shared" si="25"/>
        <v>7</v>
      </c>
      <c r="EC12" s="165">
        <v>9</v>
      </c>
      <c r="ED12" s="32">
        <v>0</v>
      </c>
      <c r="EE12" s="32">
        <f>AVERAGE(3,3,3,3,3,3,3,3,2,3)</f>
        <v>2.9</v>
      </c>
      <c r="EF12" s="26">
        <v>1</v>
      </c>
      <c r="EG12" s="32">
        <v>1</v>
      </c>
      <c r="EH12" s="33">
        <f t="shared" si="26"/>
        <v>4.9000000000000004</v>
      </c>
      <c r="EI12" s="32">
        <f>MEDIAN(3,3,3,3,3,3,3,3,2,3)</f>
        <v>3</v>
      </c>
      <c r="EJ12" s="75">
        <f t="shared" si="27"/>
        <v>5</v>
      </c>
      <c r="EL12" s="165">
        <v>9</v>
      </c>
      <c r="EM12" s="32">
        <v>1</v>
      </c>
      <c r="EN12" s="32">
        <f>AVERAGE(2,3,3,3,3,3,2)</f>
        <v>2.7142857142857144</v>
      </c>
      <c r="EO12" s="26">
        <v>2</v>
      </c>
      <c r="EP12" s="32">
        <v>2</v>
      </c>
      <c r="EQ12" s="33">
        <f t="shared" si="28"/>
        <v>7.7142857142857144</v>
      </c>
      <c r="ER12" s="197">
        <f>MEDIAN(2,3,3,3,3,3,2)</f>
        <v>3</v>
      </c>
      <c r="ES12">
        <f t="shared" si="29"/>
        <v>8</v>
      </c>
      <c r="EU12" s="165">
        <v>9</v>
      </c>
      <c r="EV12" s="32">
        <v>0</v>
      </c>
      <c r="EW12" s="32">
        <f>AVERAGE(2,2,2,2,3,3,2,2,3,3,2,3,3)</f>
        <v>2.4615384615384617</v>
      </c>
      <c r="EX12" s="26">
        <v>1</v>
      </c>
      <c r="EY12" s="32">
        <v>1</v>
      </c>
      <c r="EZ12" s="33">
        <f t="shared" si="30"/>
        <v>4.4615384615384617</v>
      </c>
      <c r="FA12" s="197">
        <f>MEDIAN(2,2,2,2,3,3,2,2,3,3,2,3,3)</f>
        <v>2</v>
      </c>
      <c r="FB12">
        <f t="shared" si="31"/>
        <v>4</v>
      </c>
      <c r="FD12" s="165">
        <v>9</v>
      </c>
      <c r="FE12" s="32">
        <v>0</v>
      </c>
      <c r="FF12" s="32">
        <f>AVERAGE(3,3,2,3,3,2,3,3,3)</f>
        <v>2.7777777777777777</v>
      </c>
      <c r="FG12" s="26">
        <v>1</v>
      </c>
      <c r="FH12" s="32">
        <v>0</v>
      </c>
      <c r="FI12" s="33">
        <f t="shared" si="32"/>
        <v>3.7777777777777777</v>
      </c>
      <c r="FJ12" s="197">
        <f>MEDIAN(3,3,2,3,3,2,3,3,3)</f>
        <v>3</v>
      </c>
      <c r="FK12">
        <f t="shared" si="33"/>
        <v>4</v>
      </c>
      <c r="FM12" s="165">
        <v>9</v>
      </c>
      <c r="FN12" s="32">
        <v>1</v>
      </c>
      <c r="FO12" s="32">
        <f>AVERAGE(3,3,2,3,2,3,3,3,3,2,2)</f>
        <v>2.6363636363636362</v>
      </c>
      <c r="FP12" s="26">
        <v>3</v>
      </c>
      <c r="FQ12" s="32">
        <v>1</v>
      </c>
      <c r="FR12" s="33">
        <f t="shared" si="34"/>
        <v>7.6363636363636367</v>
      </c>
      <c r="FS12" s="197">
        <f>MEDIAN(3,3,2,3,2,3,3,3,3,2,2)</f>
        <v>3</v>
      </c>
      <c r="FT12">
        <f t="shared" si="35"/>
        <v>8</v>
      </c>
      <c r="FV12" s="165">
        <v>9</v>
      </c>
      <c r="FW12" s="32">
        <v>0</v>
      </c>
      <c r="FX12" s="32">
        <f>MEDIAN(3,3,2,3,3,3,3,2,3,3,3,3)</f>
        <v>3</v>
      </c>
      <c r="FY12" s="26">
        <v>1</v>
      </c>
      <c r="FZ12" s="32">
        <v>1</v>
      </c>
      <c r="GA12" s="33">
        <f t="shared" si="36"/>
        <v>5</v>
      </c>
      <c r="GB12" s="32">
        <f>MEDIAN(3,3,2,3,3,3,3,2,3,3,3,3)</f>
        <v>3</v>
      </c>
      <c r="GC12">
        <f t="shared" si="37"/>
        <v>5</v>
      </c>
      <c r="GE12" s="165">
        <v>9</v>
      </c>
      <c r="GF12" s="32">
        <v>1</v>
      </c>
      <c r="GG12" s="32">
        <f>MEDIAN(3,3,2,3,2,3)</f>
        <v>3</v>
      </c>
      <c r="GH12" s="26">
        <v>0</v>
      </c>
      <c r="GI12" s="32">
        <v>0</v>
      </c>
      <c r="GJ12" s="18">
        <f t="shared" si="38"/>
        <v>4</v>
      </c>
      <c r="GK12" s="32">
        <f>MEDIAN(3,3,2,3,2,3)</f>
        <v>3</v>
      </c>
      <c r="GL12">
        <f t="shared" si="39"/>
        <v>4</v>
      </c>
      <c r="GN12" s="165">
        <v>9</v>
      </c>
      <c r="GO12" s="32">
        <v>1</v>
      </c>
      <c r="GP12" s="32">
        <f>AVERAGE(2,2,2,3,2,3)</f>
        <v>2.3333333333333335</v>
      </c>
      <c r="GQ12" s="26">
        <v>0</v>
      </c>
      <c r="GR12" s="32">
        <v>1</v>
      </c>
      <c r="GS12" s="33">
        <f t="shared" si="40"/>
        <v>4.3333333333333339</v>
      </c>
      <c r="GT12" s="196">
        <f>MEDIAN(2,2,2,3,2,3)</f>
        <v>2</v>
      </c>
      <c r="GU12" s="32">
        <f t="shared" si="41"/>
        <v>4</v>
      </c>
      <c r="GW12" s="165">
        <v>9</v>
      </c>
      <c r="GX12" s="32">
        <v>1</v>
      </c>
      <c r="GY12" s="32">
        <f>AVERAGE(2,2,2,2)</f>
        <v>2</v>
      </c>
      <c r="GZ12" s="26">
        <v>1</v>
      </c>
      <c r="HA12" s="32">
        <v>1</v>
      </c>
      <c r="HB12" s="33">
        <f t="shared" si="42"/>
        <v>5</v>
      </c>
      <c r="HC12" s="196">
        <f>MEDIAN(2,2,2,2)</f>
        <v>2</v>
      </c>
      <c r="HD12">
        <f t="shared" si="43"/>
        <v>5</v>
      </c>
      <c r="HF12" s="165">
        <v>9</v>
      </c>
      <c r="HG12" s="32">
        <v>0</v>
      </c>
      <c r="HH12" s="32">
        <f>AVERAGE(3,3,3,3,3,3,3,3,3,2,3,3,3,3,3,3)</f>
        <v>2.9375</v>
      </c>
      <c r="HI12" s="26">
        <v>3</v>
      </c>
      <c r="HJ12" s="32">
        <v>1</v>
      </c>
      <c r="HK12" s="33">
        <f t="shared" si="44"/>
        <v>6.9375</v>
      </c>
      <c r="HL12" s="32">
        <f>MEDIAN(3,3,3,3,3,3,3,3,3,2,3,3,3,3,3,3)</f>
        <v>3</v>
      </c>
      <c r="HM12">
        <f t="shared" si="45"/>
        <v>7</v>
      </c>
      <c r="HO12" s="165">
        <v>9</v>
      </c>
      <c r="HP12" s="32">
        <v>1</v>
      </c>
      <c r="HQ12" s="32">
        <f>AVERAGE(3,2,3,3,2,2,3,2,3,2,2)</f>
        <v>2.4545454545454546</v>
      </c>
      <c r="HR12" s="26">
        <v>2</v>
      </c>
      <c r="HS12" s="32">
        <v>1</v>
      </c>
      <c r="HT12" s="33">
        <f t="shared" si="46"/>
        <v>6.454545454545455</v>
      </c>
      <c r="HU12" s="32">
        <f>MEDIAN(3,2,3,3,2,2,3,2,3,2,2)</f>
        <v>2</v>
      </c>
      <c r="HV12">
        <f t="shared" si="47"/>
        <v>6</v>
      </c>
      <c r="HX12" s="165">
        <v>9</v>
      </c>
      <c r="HY12" s="32">
        <v>1</v>
      </c>
      <c r="HZ12" s="32">
        <f>MEDIAN(3,3,3,3,2,3)</f>
        <v>3</v>
      </c>
      <c r="IA12" s="26">
        <v>3</v>
      </c>
      <c r="IB12" s="32">
        <v>2</v>
      </c>
      <c r="IC12" s="33">
        <f t="shared" si="48"/>
        <v>9</v>
      </c>
      <c r="ID12" s="32">
        <f>MEDIAN(3,3,3,3,2,3)</f>
        <v>3</v>
      </c>
      <c r="IE12">
        <f t="shared" si="49"/>
        <v>9</v>
      </c>
      <c r="IG12" s="165">
        <v>9</v>
      </c>
      <c r="IH12" s="32">
        <v>0</v>
      </c>
      <c r="II12" s="32">
        <f>MEDIAN(2,3,2,3,3)</f>
        <v>3</v>
      </c>
      <c r="IJ12" s="26">
        <v>0</v>
      </c>
      <c r="IK12" s="32">
        <v>0</v>
      </c>
      <c r="IL12" s="33">
        <f t="shared" si="50"/>
        <v>3</v>
      </c>
      <c r="IM12" s="32">
        <f>MEDIAN(2,3,2,3,3)</f>
        <v>3</v>
      </c>
      <c r="IN12">
        <f t="shared" si="51"/>
        <v>3</v>
      </c>
      <c r="IP12" s="165">
        <v>9</v>
      </c>
      <c r="IQ12" s="32">
        <v>1</v>
      </c>
      <c r="IR12" s="32">
        <f>AVERAGE(3,3,3,3,3,3,3,3,2,2)</f>
        <v>2.8</v>
      </c>
      <c r="IS12" s="26">
        <v>2</v>
      </c>
      <c r="IT12" s="32">
        <v>2</v>
      </c>
      <c r="IU12" s="33">
        <f t="shared" si="52"/>
        <v>7.8</v>
      </c>
      <c r="IV12" s="32">
        <f>MEDIAN(3,3,3,3,3,3,3,3,2,2)</f>
        <v>3</v>
      </c>
      <c r="IW12">
        <f t="shared" si="53"/>
        <v>8</v>
      </c>
      <c r="IY12" s="165">
        <v>9</v>
      </c>
      <c r="IZ12" s="32">
        <v>1</v>
      </c>
      <c r="JA12" s="32">
        <f>AVERAGE(2,2,3,3,3)</f>
        <v>2.6</v>
      </c>
      <c r="JB12" s="26">
        <v>3</v>
      </c>
      <c r="JC12" s="32">
        <v>2</v>
      </c>
      <c r="JD12" s="33">
        <f t="shared" si="54"/>
        <v>8.6</v>
      </c>
      <c r="JE12" s="32">
        <f>MEDIAN(2,2,3,3,3)</f>
        <v>3</v>
      </c>
      <c r="JF12">
        <f t="shared" si="55"/>
        <v>9</v>
      </c>
      <c r="JH12" s="165">
        <v>9</v>
      </c>
      <c r="JI12" s="32">
        <v>0</v>
      </c>
      <c r="JJ12" s="32">
        <f>MEDIAN(3,3,3,3,3,3,3,3,3,3)</f>
        <v>3</v>
      </c>
      <c r="JK12" s="26">
        <v>3</v>
      </c>
      <c r="JL12" s="32">
        <v>2</v>
      </c>
      <c r="JM12" s="33">
        <f t="shared" si="56"/>
        <v>8</v>
      </c>
      <c r="JN12" s="32">
        <f>MEDIAN(3,3,3,3,3,3,3,3,3,3)</f>
        <v>3</v>
      </c>
      <c r="JO12">
        <f t="shared" si="57"/>
        <v>8</v>
      </c>
      <c r="JQ12" s="165">
        <v>9</v>
      </c>
      <c r="JR12" s="32">
        <v>0</v>
      </c>
      <c r="JS12" s="32">
        <f>MEDIAN(3,2,3,3,3,3,2,3,3,3)</f>
        <v>3</v>
      </c>
      <c r="JT12" s="26">
        <v>1</v>
      </c>
      <c r="JU12" s="32">
        <v>1</v>
      </c>
      <c r="JV12" s="33">
        <f t="shared" si="58"/>
        <v>5</v>
      </c>
      <c r="JW12" s="32">
        <f>MEDIAN(3,2,3,3,3,3,2,3,3,3)</f>
        <v>3</v>
      </c>
      <c r="JX12">
        <f t="shared" si="59"/>
        <v>5</v>
      </c>
      <c r="JZ12" s="165">
        <v>9</v>
      </c>
      <c r="KA12" s="32">
        <v>0</v>
      </c>
      <c r="KB12" s="32">
        <f>AVERAGE(3,3,3,3,3,2,2,3,2,3)</f>
        <v>2.7</v>
      </c>
      <c r="KC12" s="26">
        <v>0</v>
      </c>
      <c r="KD12" s="32">
        <v>1</v>
      </c>
      <c r="KE12" s="33">
        <f t="shared" si="60"/>
        <v>3.7</v>
      </c>
      <c r="KF12" s="32">
        <f>MEDIAN(3,3,3,3,3,2,2,3,2,3)</f>
        <v>3</v>
      </c>
      <c r="KG12">
        <f t="shared" si="61"/>
        <v>4</v>
      </c>
      <c r="KI12" s="165">
        <v>9</v>
      </c>
      <c r="KJ12" s="32">
        <v>0</v>
      </c>
      <c r="KK12" s="32">
        <f>AVERAGE(3,3,3,3,3)</f>
        <v>3</v>
      </c>
      <c r="KL12" s="26">
        <v>3</v>
      </c>
      <c r="KM12" s="32">
        <v>1</v>
      </c>
      <c r="KN12" s="33">
        <f t="shared" si="62"/>
        <v>7</v>
      </c>
      <c r="KO12" s="32">
        <f>MEDIAN(3,3,3,3,3)</f>
        <v>3</v>
      </c>
      <c r="KP12">
        <f t="shared" si="63"/>
        <v>7</v>
      </c>
      <c r="KR12" s="165">
        <v>9</v>
      </c>
      <c r="KS12" s="32">
        <v>2</v>
      </c>
      <c r="KT12" s="32">
        <f>AVERAGE(3,3,3,3,2,3,3)</f>
        <v>2.8571428571428572</v>
      </c>
      <c r="KU12" s="26">
        <v>3</v>
      </c>
      <c r="KV12" s="32">
        <v>2</v>
      </c>
      <c r="KW12" s="33">
        <f t="shared" si="64"/>
        <v>9.8571428571428577</v>
      </c>
      <c r="KX12" s="32">
        <f>MEDIAN(3,3,3,3,2,3,3)</f>
        <v>3</v>
      </c>
      <c r="KY12">
        <f t="shared" si="65"/>
        <v>10</v>
      </c>
      <c r="LA12" s="165">
        <v>9</v>
      </c>
      <c r="LB12" s="32">
        <v>2</v>
      </c>
      <c r="LC12" s="32">
        <f>AVERAGE(3,3,3,3,3,3,3)</f>
        <v>3</v>
      </c>
      <c r="LD12" s="26">
        <v>3</v>
      </c>
      <c r="LE12" s="32">
        <v>3</v>
      </c>
      <c r="LF12" s="33">
        <f t="shared" si="66"/>
        <v>11</v>
      </c>
      <c r="LG12" s="32">
        <f>MEDIAN(3,3,3,3,3,3,3)</f>
        <v>3</v>
      </c>
      <c r="LH12">
        <f t="shared" si="67"/>
        <v>11</v>
      </c>
      <c r="LK12" s="165">
        <v>9</v>
      </c>
      <c r="LL12" s="32">
        <v>1</v>
      </c>
      <c r="LM12" s="32">
        <f>AVERAGE(3,2,2,2,3,2,2,2,3,2,2,2,2,2)</f>
        <v>2.2142857142857144</v>
      </c>
      <c r="LN12" s="26">
        <v>2</v>
      </c>
      <c r="LO12" s="32">
        <v>1</v>
      </c>
      <c r="LP12" s="33">
        <f t="shared" si="68"/>
        <v>6.2142857142857144</v>
      </c>
      <c r="LQ12" s="32">
        <f>MEDIAN(3,2,2,2,3,2,2,2,3,2,2,2,2,2)</f>
        <v>2</v>
      </c>
      <c r="LR12">
        <f t="shared" si="69"/>
        <v>6</v>
      </c>
      <c r="LT12" s="165">
        <v>9</v>
      </c>
      <c r="LU12" s="32">
        <v>0</v>
      </c>
      <c r="LV12" s="32">
        <f>AVERAGE(3,3,3,3,3,3,3,3,3)</f>
        <v>3</v>
      </c>
      <c r="LW12" s="26">
        <v>1</v>
      </c>
      <c r="LX12" s="32">
        <v>0</v>
      </c>
      <c r="LY12" s="33">
        <f t="shared" si="70"/>
        <v>4</v>
      </c>
      <c r="LZ12" s="32">
        <f>MEDIAN(3,3,3,3,3,3,3,3,3)</f>
        <v>3</v>
      </c>
      <c r="MA12">
        <f t="shared" si="71"/>
        <v>4</v>
      </c>
      <c r="MC12" s="165">
        <v>9</v>
      </c>
      <c r="MD12" s="32">
        <v>1</v>
      </c>
      <c r="ME12" s="32">
        <f>AVERAGE(3,2,3,3,2,2,3,3,3)</f>
        <v>2.6666666666666665</v>
      </c>
      <c r="MF12" s="26">
        <v>3</v>
      </c>
      <c r="MG12" s="32">
        <v>1</v>
      </c>
      <c r="MH12" s="33">
        <f t="shared" si="72"/>
        <v>7.6666666666666661</v>
      </c>
      <c r="MI12" s="32">
        <f>MEDIAN(3,2,3,3,2,2,3,3,3)</f>
        <v>3</v>
      </c>
      <c r="MJ12">
        <f t="shared" si="73"/>
        <v>8</v>
      </c>
      <c r="ML12" s="165">
        <v>9</v>
      </c>
      <c r="MM12" s="32">
        <v>1</v>
      </c>
      <c r="MN12" s="32">
        <f>AVERAGE(3,3,3,3,3,3,3,3,3,3,2,3,3,3,3,3)</f>
        <v>2.9375</v>
      </c>
      <c r="MO12" s="26">
        <v>2</v>
      </c>
      <c r="MP12" s="32">
        <v>2</v>
      </c>
      <c r="MQ12" s="33">
        <f t="shared" si="74"/>
        <v>7.9375</v>
      </c>
      <c r="MR12" s="32">
        <f>MEDIAN(3,3,3,3,3,3,3,3,3,3,2,3,3,3,3,3)</f>
        <v>3</v>
      </c>
      <c r="MS12">
        <f t="shared" si="75"/>
        <v>8</v>
      </c>
      <c r="MU12" s="165">
        <v>9</v>
      </c>
      <c r="MV12" s="32">
        <v>0</v>
      </c>
      <c r="MW12" s="32">
        <f>MEDIAN(3,3,3,3,3)</f>
        <v>3</v>
      </c>
      <c r="MX12" s="26">
        <v>2</v>
      </c>
      <c r="MY12" s="32">
        <v>1</v>
      </c>
      <c r="MZ12" s="33">
        <f t="shared" si="76"/>
        <v>6</v>
      </c>
      <c r="NA12" s="32">
        <f>MEDIAN(3,3,3,3,3)</f>
        <v>3</v>
      </c>
      <c r="NB12">
        <f t="shared" si="77"/>
        <v>6</v>
      </c>
      <c r="ND12" s="165">
        <v>9</v>
      </c>
      <c r="NE12" s="32">
        <v>0</v>
      </c>
      <c r="NF12" s="32">
        <f>MEDIAN(2,3,2,1)</f>
        <v>2</v>
      </c>
      <c r="NG12" s="26">
        <v>1</v>
      </c>
      <c r="NH12" s="32">
        <v>1</v>
      </c>
      <c r="NI12" s="33">
        <f t="shared" si="78"/>
        <v>4</v>
      </c>
      <c r="NJ12" s="32">
        <f>MEDIAN(2,3,2,1)</f>
        <v>2</v>
      </c>
      <c r="NK12">
        <f t="shared" si="79"/>
        <v>4</v>
      </c>
      <c r="NM12" s="165">
        <v>9</v>
      </c>
      <c r="NN12" s="32">
        <v>2</v>
      </c>
      <c r="NO12" s="32">
        <f>AVERAGE(3,3,3,3,3,3,3,3,3,3,3,3,3,3,3,3,3,3,3,3,3,3)</f>
        <v>3</v>
      </c>
      <c r="NP12" s="26">
        <v>2</v>
      </c>
      <c r="NQ12" s="32">
        <v>1</v>
      </c>
      <c r="NR12" s="33">
        <f t="shared" si="80"/>
        <v>8</v>
      </c>
      <c r="NS12" s="32">
        <f>MEDIAN(3,3,3,3,3,3,3,3,3,3,3,3,3,3,3,3,3,3,3,3,3,3)</f>
        <v>3</v>
      </c>
      <c r="NT12">
        <f t="shared" si="81"/>
        <v>8</v>
      </c>
      <c r="NV12" s="165">
        <v>9</v>
      </c>
      <c r="NW12" s="32">
        <v>2</v>
      </c>
      <c r="NX12" s="32">
        <f>AVERAGE(3,3,3)</f>
        <v>3</v>
      </c>
      <c r="NY12" s="26">
        <v>2</v>
      </c>
      <c r="NZ12" s="32">
        <v>2</v>
      </c>
      <c r="OA12" s="33">
        <f t="shared" si="82"/>
        <v>9</v>
      </c>
      <c r="OB12" s="32">
        <f>MEDIAN(3,3,3)</f>
        <v>3</v>
      </c>
      <c r="OC12">
        <f t="shared" si="83"/>
        <v>9</v>
      </c>
      <c r="OE12" s="165">
        <v>9</v>
      </c>
      <c r="OF12" s="32">
        <v>0</v>
      </c>
      <c r="OG12" s="32">
        <f>MEDIAN(3,3,2,3,3,3,3,3,3,3,3,3,3,3)</f>
        <v>3</v>
      </c>
      <c r="OH12" s="26">
        <v>3</v>
      </c>
      <c r="OI12" s="32">
        <v>2</v>
      </c>
      <c r="OJ12" s="33">
        <f t="shared" si="84"/>
        <v>8</v>
      </c>
      <c r="OK12" s="32">
        <f>MEDIAN(3,3,2,3,3,3,3,3,3,3,3,3,3,3)</f>
        <v>3</v>
      </c>
      <c r="OL12">
        <f t="shared" si="85"/>
        <v>8</v>
      </c>
      <c r="ON12" s="165">
        <v>9</v>
      </c>
      <c r="OO12" s="32">
        <v>1</v>
      </c>
      <c r="OP12" s="32">
        <f>MEDIAN(3,3,3,3,3,3,3,2)</f>
        <v>3</v>
      </c>
      <c r="OQ12" s="26">
        <v>1</v>
      </c>
      <c r="OR12" s="32">
        <v>1</v>
      </c>
      <c r="OS12" s="33">
        <f t="shared" si="86"/>
        <v>6</v>
      </c>
      <c r="OT12" s="32">
        <f>MEDIAN(3,3,3,3,3,3,3,2)</f>
        <v>3</v>
      </c>
      <c r="OU12">
        <f t="shared" si="87"/>
        <v>6</v>
      </c>
      <c r="OW12" s="165">
        <v>9</v>
      </c>
      <c r="OX12" s="32">
        <v>1</v>
      </c>
      <c r="OY12" s="32">
        <f>AVERAGE(3,3,2,3,2)</f>
        <v>2.6</v>
      </c>
      <c r="OZ12" s="26">
        <v>2</v>
      </c>
      <c r="PA12" s="32">
        <v>2</v>
      </c>
      <c r="PB12" s="33">
        <f t="shared" si="88"/>
        <v>7.6</v>
      </c>
      <c r="PC12" s="32">
        <f>MEDIAN(3,3,2,3,2)</f>
        <v>3</v>
      </c>
      <c r="PD12">
        <f t="shared" si="89"/>
        <v>8</v>
      </c>
      <c r="PF12" s="165">
        <v>9</v>
      </c>
      <c r="PG12" s="32">
        <v>1</v>
      </c>
      <c r="PH12" s="32">
        <f>AVERAGE(3,2,3,3,3)</f>
        <v>2.8</v>
      </c>
      <c r="PI12" s="26">
        <v>2</v>
      </c>
      <c r="PJ12" s="32">
        <v>2</v>
      </c>
      <c r="PK12" s="33">
        <f t="shared" si="90"/>
        <v>7.8</v>
      </c>
      <c r="PL12" s="32">
        <f>MEDIAN(3,2,3,3,3)</f>
        <v>3</v>
      </c>
      <c r="PM12">
        <f t="shared" si="91"/>
        <v>8</v>
      </c>
      <c r="PO12" s="165">
        <v>9</v>
      </c>
      <c r="PP12" s="32">
        <v>1</v>
      </c>
      <c r="PQ12" s="32">
        <f>MEDIAN(2,2,2,2,1,2)</f>
        <v>2</v>
      </c>
      <c r="PR12" s="26">
        <v>2</v>
      </c>
      <c r="PS12" s="32">
        <v>1</v>
      </c>
      <c r="PT12" s="33">
        <f t="shared" si="92"/>
        <v>6</v>
      </c>
      <c r="PV12" s="165">
        <v>9</v>
      </c>
      <c r="PW12" s="32">
        <v>2</v>
      </c>
      <c r="PX12" s="32">
        <f>MEDIAN(3,3,3,3,2,3,3,3,3,2,2)</f>
        <v>3</v>
      </c>
      <c r="PY12" s="26">
        <v>2</v>
      </c>
      <c r="PZ12" s="32">
        <v>2</v>
      </c>
      <c r="QA12" s="33">
        <f t="shared" si="93"/>
        <v>9</v>
      </c>
      <c r="QB12" s="32">
        <f>MEDIAN(3,3,3,3,2,3,3,3,3,2,2)</f>
        <v>3</v>
      </c>
      <c r="QC12">
        <f t="shared" si="94"/>
        <v>9</v>
      </c>
      <c r="QE12" s="165">
        <v>9</v>
      </c>
      <c r="QF12" s="32">
        <v>0</v>
      </c>
      <c r="QG12" s="32">
        <f>MEDIAN(2,2,2)</f>
        <v>2</v>
      </c>
      <c r="QH12" s="26">
        <v>1</v>
      </c>
      <c r="QI12" s="32">
        <v>1</v>
      </c>
      <c r="QJ12" s="33">
        <f t="shared" si="95"/>
        <v>4</v>
      </c>
      <c r="QK12" s="32">
        <f>MEDIAN(2,2,2)</f>
        <v>2</v>
      </c>
      <c r="QL12">
        <f t="shared" si="96"/>
        <v>4</v>
      </c>
      <c r="QN12" s="165">
        <v>9</v>
      </c>
      <c r="QO12" s="32">
        <v>0</v>
      </c>
      <c r="QP12" s="32">
        <f>MEDIAN(3,3,3,3,3,3,3,3,3,3,3,3,3,3,3,3,3)</f>
        <v>3</v>
      </c>
      <c r="QQ12" s="26">
        <v>2</v>
      </c>
      <c r="QR12" s="32">
        <v>1</v>
      </c>
      <c r="QS12" s="33">
        <f t="shared" si="97"/>
        <v>6</v>
      </c>
      <c r="QT12" s="32">
        <f>MEDIAN(3,3,3,3,3,3,3,3,3,3,3,3,3,3,3,3,3)</f>
        <v>3</v>
      </c>
      <c r="QU12">
        <f t="shared" si="98"/>
        <v>6</v>
      </c>
      <c r="QW12" s="165">
        <v>9</v>
      </c>
      <c r="QX12" s="32">
        <v>0</v>
      </c>
      <c r="QY12" s="32">
        <f>AVERAGE(3,3,3,2,3,2,3,3,2,3,3,3,2,3,2,2,3)</f>
        <v>2.6470588235294117</v>
      </c>
      <c r="QZ12" s="26">
        <v>2</v>
      </c>
      <c r="RA12" s="32">
        <v>1</v>
      </c>
      <c r="RB12" s="33">
        <f t="shared" si="99"/>
        <v>5.6470588235294112</v>
      </c>
      <c r="RC12" s="32">
        <f>MEDIAN(3,3,3,2,3,2,3,3,2,3,3,3,2,3,2,2,3)</f>
        <v>3</v>
      </c>
      <c r="RD12">
        <f t="shared" si="100"/>
        <v>6</v>
      </c>
      <c r="RF12" s="165">
        <v>9</v>
      </c>
      <c r="RG12" s="32">
        <v>1</v>
      </c>
      <c r="RH12" s="32">
        <f>AVERAGE(3,3,2,3,3,3,3,3,2,3,3,3)</f>
        <v>2.8333333333333335</v>
      </c>
      <c r="RI12" s="26">
        <v>2</v>
      </c>
      <c r="RJ12" s="32">
        <v>1</v>
      </c>
      <c r="RK12" s="33">
        <f t="shared" si="101"/>
        <v>6.8333333333333339</v>
      </c>
      <c r="RL12" s="32">
        <f>MEDIAN(3,3,2,3,3,3,3,3,2,3,3,3)</f>
        <v>3</v>
      </c>
      <c r="RM12">
        <f t="shared" si="102"/>
        <v>7</v>
      </c>
      <c r="RO12" s="165">
        <v>9</v>
      </c>
      <c r="RP12" s="32">
        <v>1</v>
      </c>
      <c r="RQ12" s="32">
        <f>AVERAGE(2,2,3,3,2,3,2,2)</f>
        <v>2.375</v>
      </c>
      <c r="RR12" s="26">
        <v>1</v>
      </c>
      <c r="RS12" s="32">
        <v>1</v>
      </c>
      <c r="RT12" s="33">
        <f t="shared" si="103"/>
        <v>5.375</v>
      </c>
      <c r="RU12" s="32">
        <f>MEDIAN(2,2,3,3,2,3,2,2)</f>
        <v>2</v>
      </c>
      <c r="RV12">
        <f t="shared" si="104"/>
        <v>5</v>
      </c>
      <c r="RX12" s="165">
        <v>9</v>
      </c>
      <c r="RY12" s="32">
        <v>1</v>
      </c>
      <c r="RZ12" s="32">
        <f>AVERAGE(3,3,3,2,3,3,3,3,2,3,2)</f>
        <v>2.7272727272727271</v>
      </c>
      <c r="SA12" s="26">
        <v>3</v>
      </c>
      <c r="SB12" s="32">
        <v>3</v>
      </c>
      <c r="SC12" s="33">
        <f t="shared" si="105"/>
        <v>9.7272727272727266</v>
      </c>
      <c r="SD12" s="32">
        <f>MEDIAN(3,3,3,2,3,3,3,3,2,3,2)</f>
        <v>3</v>
      </c>
      <c r="SE12">
        <f t="shared" si="106"/>
        <v>10</v>
      </c>
      <c r="SG12" s="165">
        <v>9</v>
      </c>
      <c r="SH12" s="32">
        <v>1</v>
      </c>
      <c r="SI12" s="32">
        <f>MEDIAN(2,3,1,2,2,2)</f>
        <v>2</v>
      </c>
      <c r="SJ12" s="26">
        <v>1</v>
      </c>
      <c r="SK12" s="32">
        <v>1</v>
      </c>
      <c r="SL12" s="33">
        <f t="shared" si="107"/>
        <v>5</v>
      </c>
      <c r="SM12" s="32">
        <f>MEDIAN(2,3,1,2,2,2)</f>
        <v>2</v>
      </c>
      <c r="SN12">
        <f t="shared" si="108"/>
        <v>5</v>
      </c>
      <c r="SP12" s="165">
        <v>9</v>
      </c>
      <c r="SQ12" s="32">
        <v>1</v>
      </c>
      <c r="SR12" s="32">
        <f>MEDIAN(3,3,3,3,2,3,3,3)</f>
        <v>3</v>
      </c>
      <c r="SS12" s="26">
        <v>0</v>
      </c>
      <c r="ST12" s="32">
        <v>0</v>
      </c>
      <c r="SU12" s="33">
        <f t="shared" si="109"/>
        <v>4</v>
      </c>
      <c r="SV12" s="32">
        <f>MEDIAN(3,3,3,3,2,3,3,3)</f>
        <v>3</v>
      </c>
      <c r="SW12">
        <f t="shared" si="110"/>
        <v>4</v>
      </c>
      <c r="SY12" s="165">
        <v>9</v>
      </c>
      <c r="SZ12" s="32">
        <v>2</v>
      </c>
      <c r="TA12" s="32">
        <f>AVERAGE(2,3,3,3,2)</f>
        <v>2.6</v>
      </c>
      <c r="TB12" s="26">
        <v>2</v>
      </c>
      <c r="TC12" s="32">
        <v>0</v>
      </c>
      <c r="TD12" s="33">
        <f t="shared" si="111"/>
        <v>6.6</v>
      </c>
      <c r="TE12" s="32">
        <f>MEDIAN(2,3,3,3,2)</f>
        <v>3</v>
      </c>
      <c r="TF12">
        <f t="shared" si="112"/>
        <v>7</v>
      </c>
      <c r="TH12" s="165">
        <v>9</v>
      </c>
      <c r="TI12" s="32">
        <v>2</v>
      </c>
      <c r="TJ12" s="32">
        <f>MEDIAN(2,3,3,3,3,2,3,2)</f>
        <v>3</v>
      </c>
      <c r="TK12" s="26">
        <v>3</v>
      </c>
      <c r="TL12" s="32">
        <v>2</v>
      </c>
      <c r="TM12" s="33">
        <f t="shared" si="113"/>
        <v>10</v>
      </c>
      <c r="TN12" s="32">
        <f>MEDIAN(2,3,3,3,3,2,3,2)</f>
        <v>3</v>
      </c>
      <c r="TO12">
        <f t="shared" si="114"/>
        <v>10</v>
      </c>
      <c r="TQ12" s="165">
        <v>9</v>
      </c>
      <c r="TR12" s="32">
        <v>2</v>
      </c>
      <c r="TS12" s="32">
        <f>MEDIAN(3,3,2,3,3,3)</f>
        <v>3</v>
      </c>
      <c r="TT12" s="26">
        <v>3</v>
      </c>
      <c r="TU12" s="32">
        <v>3</v>
      </c>
      <c r="TV12" s="33">
        <f t="shared" si="115"/>
        <v>11</v>
      </c>
      <c r="TX12" s="165">
        <v>9</v>
      </c>
      <c r="TY12" s="32">
        <v>1</v>
      </c>
      <c r="TZ12" s="32">
        <f>MEDIAN(3,3,3,2,3,3,2)</f>
        <v>3</v>
      </c>
      <c r="UA12" s="26">
        <v>2</v>
      </c>
      <c r="UB12" s="32">
        <v>1</v>
      </c>
      <c r="UC12" s="33">
        <f t="shared" si="116"/>
        <v>7</v>
      </c>
      <c r="UD12" s="32">
        <f>MEDIAN(3,3,3,2,3,3,2)</f>
        <v>3</v>
      </c>
      <c r="UE12">
        <f t="shared" si="117"/>
        <v>7</v>
      </c>
      <c r="UG12" s="165">
        <v>9</v>
      </c>
      <c r="UH12" s="32">
        <v>2</v>
      </c>
      <c r="UI12" s="32">
        <f>MEDIAN(3,3,3,3,3,3)</f>
        <v>3</v>
      </c>
      <c r="UJ12" s="26">
        <v>3</v>
      </c>
      <c r="UK12" s="32">
        <v>2</v>
      </c>
      <c r="UL12" s="33">
        <f t="shared" si="118"/>
        <v>10</v>
      </c>
      <c r="UN12" s="165">
        <v>9</v>
      </c>
      <c r="UO12" s="32">
        <v>2</v>
      </c>
      <c r="UP12" s="32">
        <f>AVERAGE(3,3,3,2,3,2,1,2,3,2,2,2,3)</f>
        <v>2.3846153846153846</v>
      </c>
      <c r="UQ12" s="26">
        <v>3</v>
      </c>
      <c r="UR12" s="32">
        <v>2</v>
      </c>
      <c r="US12" s="33">
        <f t="shared" si="119"/>
        <v>9.384615384615385</v>
      </c>
      <c r="UT12" s="32">
        <f>MEDIAN(3,3,3,2,3,2,1,2,3,2,2,2,3)</f>
        <v>2</v>
      </c>
      <c r="UU12">
        <f t="shared" si="120"/>
        <v>9</v>
      </c>
      <c r="UW12" s="165">
        <v>9</v>
      </c>
      <c r="UX12" s="32">
        <v>1</v>
      </c>
      <c r="UY12" s="32">
        <f>AVERAGE(3,3,3,3,3,2,3,3,2,3,3)</f>
        <v>2.8181818181818183</v>
      </c>
      <c r="UZ12" s="26">
        <v>1</v>
      </c>
      <c r="VA12" s="32">
        <v>1</v>
      </c>
      <c r="VB12" s="33">
        <f t="shared" si="121"/>
        <v>5.8181818181818183</v>
      </c>
      <c r="VC12" s="32">
        <f>MEDIAN(3,3,3,3,3,2,3,3,2,3,3)</f>
        <v>3</v>
      </c>
      <c r="VD12">
        <f t="shared" si="122"/>
        <v>6</v>
      </c>
      <c r="VF12" s="165">
        <v>9</v>
      </c>
      <c r="VG12" s="32">
        <v>1</v>
      </c>
      <c r="VH12" s="32">
        <f>AVERAGE(3,2,2,3)</f>
        <v>2.5</v>
      </c>
      <c r="VI12" s="26">
        <v>2</v>
      </c>
      <c r="VJ12" s="32">
        <v>1</v>
      </c>
      <c r="VK12" s="33">
        <f t="shared" si="123"/>
        <v>6.5</v>
      </c>
      <c r="VL12" s="32">
        <f>MEDIAN(3,2,2,3)</f>
        <v>2.5</v>
      </c>
      <c r="VM12">
        <f t="shared" si="124"/>
        <v>6.5</v>
      </c>
      <c r="VO12" s="165">
        <v>9</v>
      </c>
      <c r="VP12" s="32">
        <v>2</v>
      </c>
      <c r="VQ12" s="32">
        <f>AVERAGE(2,3,2,3)</f>
        <v>2.5</v>
      </c>
      <c r="VR12" s="26">
        <v>3</v>
      </c>
      <c r="VS12" s="32">
        <v>2</v>
      </c>
      <c r="VT12" s="33">
        <f t="shared" si="125"/>
        <v>9.5</v>
      </c>
      <c r="VU12" s="32">
        <f>MEDIAN(2,3,2,3)</f>
        <v>2.5</v>
      </c>
      <c r="VV12">
        <f t="shared" si="126"/>
        <v>9.5</v>
      </c>
    </row>
    <row r="13" spans="2:594" ht="15" thickBot="1" x14ac:dyDescent="0.4">
      <c r="B13" s="191">
        <v>10</v>
      </c>
      <c r="C13" s="53">
        <v>0</v>
      </c>
      <c r="D13" s="53">
        <f>AVERAGE(2,2,2,2,1,2,1,2,2,2,1,2,2,2)</f>
        <v>1.7857142857142858</v>
      </c>
      <c r="E13" s="54">
        <v>0</v>
      </c>
      <c r="F13" s="53">
        <v>1</v>
      </c>
      <c r="G13" s="71">
        <f t="shared" si="0"/>
        <v>2.7857142857142856</v>
      </c>
      <c r="H13" s="53">
        <f>MEDIAN(2,2,2,2,1,2,1,2,2,2,1,2,2,2)</f>
        <v>2</v>
      </c>
      <c r="I13" s="75">
        <f t="shared" si="1"/>
        <v>3</v>
      </c>
      <c r="K13" s="191">
        <v>10</v>
      </c>
      <c r="L13" s="53">
        <v>1</v>
      </c>
      <c r="M13" s="49">
        <f>AVERAGE(2,2,3,2,2)</f>
        <v>2.2000000000000002</v>
      </c>
      <c r="N13" s="54">
        <v>1</v>
      </c>
      <c r="O13" s="202">
        <v>2</v>
      </c>
      <c r="P13" s="205">
        <f t="shared" si="2"/>
        <v>6.2</v>
      </c>
      <c r="Q13" s="49">
        <f>MEDIAN(2,2,3,2,2)</f>
        <v>2</v>
      </c>
      <c r="R13" s="75">
        <f t="shared" si="3"/>
        <v>6</v>
      </c>
      <c r="T13" s="191">
        <v>10</v>
      </c>
      <c r="U13" s="53">
        <v>0</v>
      </c>
      <c r="V13" s="53">
        <f>AVERAGE(3,3,3,2,3,2,2)</f>
        <v>2.5714285714285716</v>
      </c>
      <c r="W13" s="54">
        <v>1</v>
      </c>
      <c r="X13" s="53">
        <v>1</v>
      </c>
      <c r="Y13" s="53">
        <f>MEDIAN(3,3,3,2,3,2,2)</f>
        <v>3</v>
      </c>
      <c r="Z13" s="18">
        <f t="shared" si="4"/>
        <v>5</v>
      </c>
      <c r="AB13" s="191">
        <v>10</v>
      </c>
      <c r="AC13" s="53">
        <v>3</v>
      </c>
      <c r="AD13" s="53">
        <f>AVERAGE(3,3,2,2,2,2,2,2,3,3,2)</f>
        <v>2.3636363636363638</v>
      </c>
      <c r="AE13" s="54">
        <v>3</v>
      </c>
      <c r="AF13" s="53">
        <v>2</v>
      </c>
      <c r="AG13" s="53">
        <f>MEDIAN(3,3,2,2,2,2,2,2,3,3,2)</f>
        <v>2</v>
      </c>
      <c r="AH13" s="18">
        <f t="shared" si="5"/>
        <v>10</v>
      </c>
      <c r="AJ13" s="199">
        <v>10</v>
      </c>
      <c r="AK13" s="200">
        <v>0</v>
      </c>
      <c r="AL13" s="200">
        <f>AVERAGE(2,2,2,2,2,2,2,3,2,2)</f>
        <v>2.1</v>
      </c>
      <c r="AM13" s="207">
        <v>0</v>
      </c>
      <c r="AN13" s="200">
        <v>0</v>
      </c>
      <c r="AO13" s="201">
        <f t="shared" si="6"/>
        <v>2.1</v>
      </c>
      <c r="AP13" s="200">
        <f>MEDIAN(2,2,2,2,2,2,2,3,2,2)</f>
        <v>2</v>
      </c>
      <c r="AQ13" s="75">
        <f t="shared" si="7"/>
        <v>2</v>
      </c>
      <c r="AS13" s="191">
        <v>10</v>
      </c>
      <c r="AT13" s="53">
        <v>2</v>
      </c>
      <c r="AU13" s="53">
        <f>AVERAGE(2,2,2,2,2,3)</f>
        <v>2.1666666666666665</v>
      </c>
      <c r="AV13" s="54">
        <v>3</v>
      </c>
      <c r="AW13" s="53">
        <v>2</v>
      </c>
      <c r="AX13" s="71">
        <f t="shared" si="8"/>
        <v>9.1666666666666661</v>
      </c>
      <c r="AY13" s="53">
        <f>MEDIAN(2,2,2,2,2,3)</f>
        <v>2</v>
      </c>
      <c r="AZ13" s="75">
        <f t="shared" si="9"/>
        <v>9</v>
      </c>
      <c r="BB13" s="191">
        <v>10</v>
      </c>
      <c r="BC13" s="53">
        <v>3</v>
      </c>
      <c r="BD13" s="53">
        <f>MEDIAN(3,3,2,3)</f>
        <v>3</v>
      </c>
      <c r="BE13" s="54">
        <v>1</v>
      </c>
      <c r="BF13" s="53">
        <v>2</v>
      </c>
      <c r="BG13" s="71">
        <f t="shared" si="10"/>
        <v>9</v>
      </c>
      <c r="BH13" s="53">
        <f>MEDIAN(3,3,2,3)</f>
        <v>3</v>
      </c>
      <c r="BI13" s="75">
        <f t="shared" si="11"/>
        <v>9</v>
      </c>
      <c r="BK13" s="191">
        <v>10</v>
      </c>
      <c r="BL13" s="53">
        <v>0</v>
      </c>
      <c r="BM13" s="49">
        <f>MEDIAN(2,2,3,2,3,2,2,2,2,2,3,2)</f>
        <v>2</v>
      </c>
      <c r="BN13" s="54">
        <v>2</v>
      </c>
      <c r="BO13" s="53">
        <v>1</v>
      </c>
      <c r="BP13" s="71">
        <f t="shared" si="12"/>
        <v>5</v>
      </c>
      <c r="BQ13" s="49">
        <f>MEDIAN(2,2,3,2,3,2,2,2,2,2,3,2)</f>
        <v>2</v>
      </c>
      <c r="BR13" s="75">
        <f t="shared" si="13"/>
        <v>5</v>
      </c>
      <c r="BT13" s="191">
        <v>10</v>
      </c>
      <c r="BU13" s="53">
        <v>3</v>
      </c>
      <c r="BV13" s="53">
        <f>MEDIAN(2,2,2,2,2,2,2,1,1,1,2,3,2,2)</f>
        <v>2</v>
      </c>
      <c r="BW13" s="54">
        <v>3</v>
      </c>
      <c r="BX13" s="53">
        <v>2</v>
      </c>
      <c r="BY13" s="71">
        <f t="shared" si="14"/>
        <v>10</v>
      </c>
      <c r="CB13" s="191">
        <v>10</v>
      </c>
      <c r="CC13" s="53">
        <v>1</v>
      </c>
      <c r="CD13" s="53">
        <f>MEDIAN(3,3,3,3,3,3,3,2,2)</f>
        <v>3</v>
      </c>
      <c r="CE13" s="54">
        <v>2</v>
      </c>
      <c r="CF13" s="53">
        <v>2</v>
      </c>
      <c r="CG13" s="71">
        <f t="shared" si="15"/>
        <v>8</v>
      </c>
      <c r="CJ13" s="191">
        <v>10</v>
      </c>
      <c r="CK13" s="53">
        <v>2</v>
      </c>
      <c r="CL13" s="53">
        <f>MEDIAN(2,2,1,3,3,2,3,2,3,3,2,2,3)</f>
        <v>2</v>
      </c>
      <c r="CM13" s="54">
        <v>3</v>
      </c>
      <c r="CN13" s="53">
        <v>1</v>
      </c>
      <c r="CO13" s="71">
        <f t="shared" si="16"/>
        <v>8</v>
      </c>
      <c r="CP13" s="53">
        <f>MEDIAN(2,2,1,3,3,2,3,2,3,3,2,2,3)</f>
        <v>2</v>
      </c>
      <c r="CQ13" s="75">
        <f t="shared" si="17"/>
        <v>8</v>
      </c>
      <c r="CS13" s="191">
        <v>10</v>
      </c>
      <c r="CT13" s="53">
        <v>1</v>
      </c>
      <c r="CU13" s="53">
        <f>MEDIAN(2,3,3,2,3,3,2,2,3,2,3,3,2,2,3,3,3,3)</f>
        <v>3</v>
      </c>
      <c r="CV13" s="54">
        <v>2</v>
      </c>
      <c r="CW13" s="53">
        <v>2</v>
      </c>
      <c r="CX13" s="71">
        <f t="shared" si="18"/>
        <v>8</v>
      </c>
      <c r="CY13" s="53">
        <f>MEDIAN(2,3,3,2,3,3,2,2,3,2,3,3,2,2,3,3,3,3)</f>
        <v>3</v>
      </c>
      <c r="CZ13" s="75">
        <f t="shared" si="19"/>
        <v>8</v>
      </c>
      <c r="DB13" s="191">
        <v>10</v>
      </c>
      <c r="DC13" s="53">
        <v>0</v>
      </c>
      <c r="DD13" s="49">
        <f>AVERAGE(2,3,2,2,2,2,2,2,2,2)</f>
        <v>2.1</v>
      </c>
      <c r="DE13" s="54">
        <v>2</v>
      </c>
      <c r="DF13" s="53">
        <v>0</v>
      </c>
      <c r="DG13" s="71">
        <f t="shared" si="20"/>
        <v>4.0999999999999996</v>
      </c>
      <c r="DH13" s="49">
        <f>MEDIAN(2,3,2,2,2,2,2,2,2,2)</f>
        <v>2</v>
      </c>
      <c r="DI13" s="75">
        <f t="shared" si="21"/>
        <v>4</v>
      </c>
      <c r="DK13" s="191">
        <v>10</v>
      </c>
      <c r="DL13" s="53">
        <v>1</v>
      </c>
      <c r="DM13" s="49">
        <f>AVERAGE(3,3,3,3)</f>
        <v>3</v>
      </c>
      <c r="DN13" s="54">
        <v>3</v>
      </c>
      <c r="DO13" s="53">
        <v>2</v>
      </c>
      <c r="DP13" s="71">
        <f t="shared" si="22"/>
        <v>9</v>
      </c>
      <c r="DQ13" s="49">
        <f>MEDIAN(3,3,3,3)</f>
        <v>3</v>
      </c>
      <c r="DR13" s="75">
        <f t="shared" si="23"/>
        <v>9</v>
      </c>
      <c r="DT13" s="191">
        <v>10</v>
      </c>
      <c r="DU13" s="53">
        <v>1</v>
      </c>
      <c r="DV13" s="49">
        <f>AVERAGE(3,2,2,3,2,2,3,2)</f>
        <v>2.375</v>
      </c>
      <c r="DW13" s="54">
        <v>3</v>
      </c>
      <c r="DX13" s="53">
        <v>1</v>
      </c>
      <c r="DY13" s="71">
        <f t="shared" si="24"/>
        <v>7.375</v>
      </c>
      <c r="DZ13" s="49">
        <f>MEDIAN(3,2,2,3,2,2,3,2)</f>
        <v>2</v>
      </c>
      <c r="EA13" s="75">
        <f t="shared" si="25"/>
        <v>7</v>
      </c>
      <c r="EC13" s="191">
        <v>10</v>
      </c>
      <c r="ED13" s="53">
        <v>0</v>
      </c>
      <c r="EE13" s="49">
        <f>AVERAGE(2,2,2,3,3,2)</f>
        <v>2.3333333333333335</v>
      </c>
      <c r="EF13" s="54">
        <v>2</v>
      </c>
      <c r="EG13" s="53">
        <v>2</v>
      </c>
      <c r="EH13" s="71">
        <f t="shared" si="26"/>
        <v>6.3333333333333339</v>
      </c>
      <c r="EI13" s="49">
        <f>MEDIAN(2,2,2,3,3,2)</f>
        <v>2</v>
      </c>
      <c r="EJ13" s="75">
        <f t="shared" si="27"/>
        <v>6</v>
      </c>
      <c r="EL13" s="191">
        <v>10</v>
      </c>
      <c r="EM13" s="53">
        <v>0</v>
      </c>
      <c r="EN13" s="53">
        <f>AVERAGE(2,2,1,2,2,2,2,2,1,1,2,2)</f>
        <v>1.75</v>
      </c>
      <c r="EO13" s="54">
        <v>2</v>
      </c>
      <c r="EP13" s="53">
        <v>1</v>
      </c>
      <c r="EQ13" s="71">
        <f t="shared" si="28"/>
        <v>4.75</v>
      </c>
      <c r="ER13" s="203">
        <f>MEDIAN(2,2,1,2,2,2,2,2,1,1,2,2)</f>
        <v>2</v>
      </c>
      <c r="ES13">
        <f t="shared" si="29"/>
        <v>5</v>
      </c>
      <c r="EU13" s="191">
        <v>10</v>
      </c>
      <c r="EV13" s="53">
        <v>0</v>
      </c>
      <c r="EW13" s="53">
        <f>AVERAGE(2,3,3,2,3,3,3,2,2)</f>
        <v>2.5555555555555554</v>
      </c>
      <c r="EX13" s="54">
        <v>1</v>
      </c>
      <c r="EY13" s="53">
        <v>0</v>
      </c>
      <c r="EZ13" s="71">
        <f t="shared" si="30"/>
        <v>3.5555555555555554</v>
      </c>
      <c r="FA13" s="203">
        <f>MEDIAN(2,3,3,2,3,3,3,2,2)</f>
        <v>3</v>
      </c>
      <c r="FB13">
        <f t="shared" si="31"/>
        <v>4</v>
      </c>
      <c r="FD13" s="191">
        <v>10</v>
      </c>
      <c r="FE13" s="53">
        <v>0</v>
      </c>
      <c r="FF13" s="53">
        <f>AVERAGE(3,3,2,3,3)</f>
        <v>2.8</v>
      </c>
      <c r="FG13" s="54">
        <v>1</v>
      </c>
      <c r="FH13" s="53">
        <v>0</v>
      </c>
      <c r="FI13" s="71">
        <f t="shared" si="32"/>
        <v>3.8</v>
      </c>
      <c r="FJ13" s="203">
        <f>MEDIAN(3,3,2,3,3)</f>
        <v>3</v>
      </c>
      <c r="FK13">
        <f t="shared" si="33"/>
        <v>4</v>
      </c>
      <c r="FM13" s="191">
        <v>10</v>
      </c>
      <c r="FN13" s="53">
        <v>1</v>
      </c>
      <c r="FO13" s="53">
        <f>AVERAGE(3,3,2,3,3,3,3,3,3,2,3,3,3)</f>
        <v>2.8461538461538463</v>
      </c>
      <c r="FP13" s="54">
        <v>3</v>
      </c>
      <c r="FQ13" s="53">
        <v>1</v>
      </c>
      <c r="FR13" s="71">
        <f t="shared" si="34"/>
        <v>7.8461538461538467</v>
      </c>
      <c r="FS13" s="203">
        <f>MEDIAN(3,3,2,3,3,3,3,3,3,2,3,3,3)</f>
        <v>3</v>
      </c>
      <c r="FT13">
        <f t="shared" si="35"/>
        <v>8</v>
      </c>
      <c r="FV13" s="191">
        <v>10</v>
      </c>
      <c r="FW13" s="53">
        <v>0</v>
      </c>
      <c r="FX13" s="53">
        <f>MEDIAN(3,3,3,2,3,2,2,3,3,2,3,3)</f>
        <v>3</v>
      </c>
      <c r="FY13" s="54">
        <v>1</v>
      </c>
      <c r="FZ13" s="53">
        <v>0</v>
      </c>
      <c r="GA13" s="71">
        <f t="shared" si="36"/>
        <v>4</v>
      </c>
      <c r="GB13" s="53">
        <f>MEDIAN(3,3,3,2,3,2,2,3,3,2,3,3)</f>
        <v>3</v>
      </c>
      <c r="GC13">
        <f t="shared" si="37"/>
        <v>4</v>
      </c>
      <c r="GE13" s="191">
        <v>10</v>
      </c>
      <c r="GF13" s="53">
        <v>1</v>
      </c>
      <c r="GG13" s="53">
        <f>MEDIAN(3,3,3)</f>
        <v>3</v>
      </c>
      <c r="GH13" s="54">
        <v>3</v>
      </c>
      <c r="GI13" s="53">
        <v>0</v>
      </c>
      <c r="GJ13" s="18">
        <f t="shared" si="38"/>
        <v>7</v>
      </c>
      <c r="GK13" s="53">
        <f>MEDIAN(3,3,3)</f>
        <v>3</v>
      </c>
      <c r="GL13">
        <f t="shared" si="39"/>
        <v>7</v>
      </c>
      <c r="GN13" s="191">
        <v>10</v>
      </c>
      <c r="GO13" s="53">
        <v>1</v>
      </c>
      <c r="GP13" s="53">
        <f>AVERAGE(3,3,3,3)</f>
        <v>3</v>
      </c>
      <c r="GQ13" s="54">
        <v>0</v>
      </c>
      <c r="GR13" s="53">
        <v>1</v>
      </c>
      <c r="GS13" s="71">
        <f t="shared" si="40"/>
        <v>5</v>
      </c>
      <c r="GT13" s="196">
        <f>MEDIAN(3,3,3,3)</f>
        <v>3</v>
      </c>
      <c r="GU13" s="32">
        <f t="shared" si="41"/>
        <v>5</v>
      </c>
      <c r="GW13" s="191">
        <v>10</v>
      </c>
      <c r="GX13" s="53">
        <v>1</v>
      </c>
      <c r="GY13" s="53">
        <f>AVERAGE(2,2,3,3,2)</f>
        <v>2.4</v>
      </c>
      <c r="GZ13" s="54">
        <v>0</v>
      </c>
      <c r="HA13" s="53">
        <v>1</v>
      </c>
      <c r="HB13" s="71">
        <f t="shared" si="42"/>
        <v>4.4000000000000004</v>
      </c>
      <c r="HC13" s="196">
        <f>MEDIAN(2,2,3,3,2)</f>
        <v>2</v>
      </c>
      <c r="HD13">
        <f t="shared" si="43"/>
        <v>4</v>
      </c>
      <c r="HF13" s="191">
        <v>10</v>
      </c>
      <c r="HG13" s="53">
        <v>2</v>
      </c>
      <c r="HH13" s="53">
        <f>AVERAGE(3,3,3,2,3)</f>
        <v>2.8</v>
      </c>
      <c r="HI13" s="54">
        <v>3</v>
      </c>
      <c r="HJ13" s="53">
        <v>2</v>
      </c>
      <c r="HK13" s="71">
        <f t="shared" si="44"/>
        <v>9.8000000000000007</v>
      </c>
      <c r="HL13" s="53">
        <f>MEDIAN(3,3,3,2,3)</f>
        <v>3</v>
      </c>
      <c r="HM13">
        <f t="shared" si="45"/>
        <v>10</v>
      </c>
      <c r="HO13" s="191">
        <v>10</v>
      </c>
      <c r="HP13" s="53">
        <v>2</v>
      </c>
      <c r="HQ13" s="53">
        <f>AVERAGE(2,2,3,3,2,3,2,3,3,2,3)</f>
        <v>2.5454545454545454</v>
      </c>
      <c r="HR13" s="54">
        <v>3</v>
      </c>
      <c r="HS13" s="53">
        <v>2</v>
      </c>
      <c r="HT13" s="71">
        <f t="shared" si="46"/>
        <v>9.545454545454545</v>
      </c>
      <c r="HU13" s="53">
        <f>MEDIAN(2,2,3,3,2,3,2,3,3,2,3)</f>
        <v>3</v>
      </c>
      <c r="HV13">
        <f t="shared" si="47"/>
        <v>10</v>
      </c>
      <c r="HX13" s="191">
        <v>10</v>
      </c>
      <c r="HY13" s="53">
        <v>1</v>
      </c>
      <c r="HZ13" s="53">
        <f>MEDIAN(3,3,3,3,3,3)</f>
        <v>3</v>
      </c>
      <c r="IA13" s="54">
        <v>3</v>
      </c>
      <c r="IB13" s="53">
        <v>2</v>
      </c>
      <c r="IC13" s="71">
        <f t="shared" si="48"/>
        <v>9</v>
      </c>
      <c r="ID13" s="53">
        <f>MEDIAN(3,3,3,3,3,3)</f>
        <v>3</v>
      </c>
      <c r="IE13">
        <f t="shared" si="49"/>
        <v>9</v>
      </c>
      <c r="IG13" s="191">
        <v>10</v>
      </c>
      <c r="IH13" s="53">
        <v>1</v>
      </c>
      <c r="II13" s="53">
        <f>MEDIAN(3,3,2,3,3)</f>
        <v>3</v>
      </c>
      <c r="IJ13" s="54">
        <v>2</v>
      </c>
      <c r="IK13" s="53">
        <v>1</v>
      </c>
      <c r="IL13" s="71">
        <f t="shared" si="50"/>
        <v>7</v>
      </c>
      <c r="IM13" s="53">
        <f>MEDIAN(3,3,2,3,3)</f>
        <v>3</v>
      </c>
      <c r="IN13">
        <f t="shared" si="51"/>
        <v>7</v>
      </c>
      <c r="IP13" s="191">
        <v>10</v>
      </c>
      <c r="IQ13" s="53">
        <v>1</v>
      </c>
      <c r="IR13" s="53">
        <f>AVERAGE(3,3,3,3,3,2)</f>
        <v>2.8333333333333335</v>
      </c>
      <c r="IS13" s="54">
        <v>2</v>
      </c>
      <c r="IT13" s="53">
        <v>2</v>
      </c>
      <c r="IU13" s="71">
        <f t="shared" si="52"/>
        <v>7.8333333333333339</v>
      </c>
      <c r="IV13" s="53">
        <f>MEDIAN(3,3,3,3,3,2)</f>
        <v>3</v>
      </c>
      <c r="IW13">
        <f t="shared" si="53"/>
        <v>8</v>
      </c>
      <c r="IY13" s="191">
        <v>10</v>
      </c>
      <c r="IZ13" s="53">
        <v>1</v>
      </c>
      <c r="JA13" s="53">
        <f>AVERAGE(2,2,3,2,2,2,2,2,3,3,3,3,3,3,3)</f>
        <v>2.5333333333333332</v>
      </c>
      <c r="JB13" s="54">
        <v>3</v>
      </c>
      <c r="JC13" s="53">
        <v>2</v>
      </c>
      <c r="JD13" s="71">
        <f t="shared" si="54"/>
        <v>8.5333333333333332</v>
      </c>
      <c r="JE13" s="53">
        <f>MEDIAN(2,2,3,2,2,2,2,2,3,3,3,3,3,3,3)</f>
        <v>3</v>
      </c>
      <c r="JF13">
        <f t="shared" si="55"/>
        <v>9</v>
      </c>
      <c r="JH13" s="191">
        <v>10</v>
      </c>
      <c r="JI13" s="53">
        <v>0</v>
      </c>
      <c r="JJ13" s="53">
        <f>MEDIAN(3,3,3,2,3,3,3,2,3,2,3)</f>
        <v>3</v>
      </c>
      <c r="JK13" s="54">
        <v>2</v>
      </c>
      <c r="JL13" s="53">
        <v>1</v>
      </c>
      <c r="JM13" s="71">
        <f t="shared" si="56"/>
        <v>6</v>
      </c>
      <c r="JN13" s="53">
        <f>MEDIAN(3,3,3,2,3,3,3,2,3,2,3)</f>
        <v>3</v>
      </c>
      <c r="JO13">
        <f t="shared" si="57"/>
        <v>6</v>
      </c>
      <c r="JQ13" s="191">
        <v>10</v>
      </c>
      <c r="JR13" s="53">
        <v>0</v>
      </c>
      <c r="JS13" s="53">
        <f>MEDIAN(2,2,2,2,2,3,2,3,3,2)</f>
        <v>2</v>
      </c>
      <c r="JT13" s="54">
        <v>1</v>
      </c>
      <c r="JU13" s="53">
        <v>1</v>
      </c>
      <c r="JV13" s="71">
        <f t="shared" si="58"/>
        <v>4</v>
      </c>
      <c r="JW13" s="53">
        <f>MEDIAN(2,2,2,2,2,3,2,3,3,2)</f>
        <v>2</v>
      </c>
      <c r="JX13">
        <f t="shared" si="59"/>
        <v>4</v>
      </c>
      <c r="JZ13" s="191">
        <v>10</v>
      </c>
      <c r="KA13" s="53">
        <v>0</v>
      </c>
      <c r="KB13" s="53">
        <f>AVERAGE(3,3,3,3,3,2)</f>
        <v>2.8333333333333335</v>
      </c>
      <c r="KC13" s="54">
        <v>0</v>
      </c>
      <c r="KD13" s="53">
        <v>1</v>
      </c>
      <c r="KE13" s="71">
        <f t="shared" si="60"/>
        <v>3.8333333333333335</v>
      </c>
      <c r="KF13" s="53">
        <f>MEDIAN(3,3,3,3,3,2)</f>
        <v>3</v>
      </c>
      <c r="KG13">
        <f t="shared" si="61"/>
        <v>4</v>
      </c>
      <c r="KI13" s="191">
        <v>10</v>
      </c>
      <c r="KJ13" s="53">
        <v>0</v>
      </c>
      <c r="KK13" s="53">
        <f>AVERAGE(3,3,3,3,3,3,3,2,3,3,3)</f>
        <v>2.9090909090909092</v>
      </c>
      <c r="KL13" s="54">
        <v>2</v>
      </c>
      <c r="KM13" s="53">
        <v>1</v>
      </c>
      <c r="KN13" s="71">
        <f t="shared" si="62"/>
        <v>5.9090909090909092</v>
      </c>
      <c r="KO13" s="53">
        <f>MEDIAN(3,3,3,3,3,3,3,2,3,3,3)</f>
        <v>3</v>
      </c>
      <c r="KP13">
        <f t="shared" si="63"/>
        <v>6</v>
      </c>
      <c r="KR13" s="191">
        <v>10</v>
      </c>
      <c r="KS13" s="53">
        <v>1</v>
      </c>
      <c r="KT13" s="53">
        <f>AVERAGE(3,3,2,3,3,3,3,3,3,2,2,2,3,3,3,3,3,3)</f>
        <v>2.7777777777777777</v>
      </c>
      <c r="KU13" s="54">
        <v>3</v>
      </c>
      <c r="KV13" s="53">
        <v>3</v>
      </c>
      <c r="KW13" s="71">
        <f t="shared" si="64"/>
        <v>9.7777777777777786</v>
      </c>
      <c r="KX13" s="53">
        <f>MEDIAN(3,3,2,3,3,3,3,3,3,2,2,2,3,3,3,3,3,3)</f>
        <v>3</v>
      </c>
      <c r="KY13">
        <f t="shared" si="65"/>
        <v>10</v>
      </c>
      <c r="LA13" s="191">
        <v>10</v>
      </c>
      <c r="LB13" s="53">
        <v>2</v>
      </c>
      <c r="LC13" s="53">
        <f>AVERAGE(3,3,3,3,3,3,3,3,3,3)</f>
        <v>3</v>
      </c>
      <c r="LD13" s="54">
        <v>3</v>
      </c>
      <c r="LE13" s="53">
        <v>3</v>
      </c>
      <c r="LF13" s="71">
        <f t="shared" si="66"/>
        <v>11</v>
      </c>
      <c r="LG13" s="53">
        <f>MEDIAN(3,3,3,3,3,3,3,3,3,3)</f>
        <v>3</v>
      </c>
      <c r="LH13">
        <f t="shared" si="67"/>
        <v>11</v>
      </c>
      <c r="LK13" s="191">
        <v>10</v>
      </c>
      <c r="LL13" s="53">
        <v>0</v>
      </c>
      <c r="LM13" s="53">
        <f>AVERAGE(3,2,3,3,3)</f>
        <v>2.8</v>
      </c>
      <c r="LN13" s="54">
        <v>3</v>
      </c>
      <c r="LO13" s="53">
        <v>1</v>
      </c>
      <c r="LP13" s="71">
        <f t="shared" si="68"/>
        <v>6.8</v>
      </c>
      <c r="LQ13" s="53">
        <f>MEDIAN(3,2,3,3,3)</f>
        <v>3</v>
      </c>
      <c r="LR13">
        <f t="shared" si="69"/>
        <v>7</v>
      </c>
      <c r="LT13" s="191">
        <v>10</v>
      </c>
      <c r="LU13" s="53">
        <v>1</v>
      </c>
      <c r="LV13" s="53">
        <f>AVERAGE(3,3,3,3,2,2,3)</f>
        <v>2.7142857142857144</v>
      </c>
      <c r="LW13" s="54">
        <v>1</v>
      </c>
      <c r="LX13" s="53">
        <v>1</v>
      </c>
      <c r="LY13" s="71">
        <f t="shared" si="70"/>
        <v>5.7142857142857144</v>
      </c>
      <c r="LZ13" s="53">
        <f>MEDIAN(3,3,3,3,2,2,3)</f>
        <v>3</v>
      </c>
      <c r="MA13">
        <f t="shared" si="71"/>
        <v>6</v>
      </c>
      <c r="MC13" s="191">
        <v>10</v>
      </c>
      <c r="MD13" s="53">
        <v>1</v>
      </c>
      <c r="ME13" s="53">
        <f>AVERAGE(2,3,2,3,3,2,2,3,3,3,2,3,2,2,2,2,3)</f>
        <v>2.4705882352941178</v>
      </c>
      <c r="MF13" s="54">
        <v>2</v>
      </c>
      <c r="MG13" s="53">
        <v>1</v>
      </c>
      <c r="MH13" s="71">
        <f t="shared" si="72"/>
        <v>6.4705882352941178</v>
      </c>
      <c r="MI13" s="53">
        <f>MEDIAN(2,3,2,3,3,2,2,3,3,3,2,3,2,2,2,2,3)</f>
        <v>2</v>
      </c>
      <c r="MJ13">
        <f t="shared" si="73"/>
        <v>6</v>
      </c>
      <c r="ML13" s="191">
        <v>10</v>
      </c>
      <c r="MM13" s="53">
        <v>1</v>
      </c>
      <c r="MN13" s="53">
        <f>AVERAGE(3,3,3,2,3,3,2,3,3,3,3,2,3,3)</f>
        <v>2.7857142857142856</v>
      </c>
      <c r="MO13" s="54">
        <v>2</v>
      </c>
      <c r="MP13" s="53">
        <v>2</v>
      </c>
      <c r="MQ13" s="71">
        <f t="shared" si="74"/>
        <v>7.7857142857142856</v>
      </c>
      <c r="MR13" s="53">
        <f>MEDIAN(3,3,3,2,3,3,2,3,3,3,3,2,3,3)</f>
        <v>3</v>
      </c>
      <c r="MS13">
        <f t="shared" si="75"/>
        <v>8</v>
      </c>
      <c r="MU13" s="191">
        <v>10</v>
      </c>
      <c r="MV13" s="53">
        <v>0</v>
      </c>
      <c r="MW13" s="53">
        <f>MEDIAN(3,3,3,3,3,2,2)</f>
        <v>3</v>
      </c>
      <c r="MX13" s="54">
        <v>3</v>
      </c>
      <c r="MY13" s="53">
        <v>1</v>
      </c>
      <c r="MZ13" s="71">
        <f t="shared" si="76"/>
        <v>7</v>
      </c>
      <c r="NA13" s="53">
        <f>MEDIAN(3,3,3,3,3,2,2)</f>
        <v>3</v>
      </c>
      <c r="NB13">
        <f t="shared" si="77"/>
        <v>7</v>
      </c>
      <c r="ND13" s="191">
        <v>10</v>
      </c>
      <c r="NE13" s="53">
        <v>1</v>
      </c>
      <c r="NF13" s="53">
        <f>MEDIAN(3,3,2,2,3,3,2,2,3,3,2,2,3)</f>
        <v>3</v>
      </c>
      <c r="NG13" s="54">
        <v>1</v>
      </c>
      <c r="NH13" s="53">
        <v>1</v>
      </c>
      <c r="NI13" s="71">
        <f t="shared" si="78"/>
        <v>6</v>
      </c>
      <c r="NJ13" s="53">
        <f>MEDIAN(3,3,2,2,3,3,2,2,3,3,2,2,3)</f>
        <v>3</v>
      </c>
      <c r="NK13">
        <f t="shared" si="79"/>
        <v>6</v>
      </c>
      <c r="NM13" s="191">
        <v>10</v>
      </c>
      <c r="NN13" s="53">
        <v>1</v>
      </c>
      <c r="NO13" s="53">
        <f>AVERAGE(3,2,3,3,3,3,3,3,3,3)</f>
        <v>2.9</v>
      </c>
      <c r="NP13" s="54">
        <v>3</v>
      </c>
      <c r="NQ13" s="53">
        <v>1</v>
      </c>
      <c r="NR13" s="71">
        <f t="shared" si="80"/>
        <v>7.9</v>
      </c>
      <c r="NS13" s="53">
        <f>MEDIAN(3,2,3,3,3,3,3,3,3,3)</f>
        <v>3</v>
      </c>
      <c r="NT13">
        <f t="shared" si="81"/>
        <v>8</v>
      </c>
      <c r="NV13" s="191">
        <v>10</v>
      </c>
      <c r="NW13" s="53">
        <v>2</v>
      </c>
      <c r="NX13" s="53">
        <f>AVERAGE(3,3,3)</f>
        <v>3</v>
      </c>
      <c r="NY13" s="54">
        <v>2</v>
      </c>
      <c r="NZ13" s="53">
        <v>2</v>
      </c>
      <c r="OA13" s="71">
        <f t="shared" si="82"/>
        <v>9</v>
      </c>
      <c r="OB13" s="53">
        <f>MEDIAN(3,3,3)</f>
        <v>3</v>
      </c>
      <c r="OC13">
        <f t="shared" si="83"/>
        <v>9</v>
      </c>
      <c r="OE13" s="191">
        <v>10</v>
      </c>
      <c r="OF13" s="53">
        <v>1</v>
      </c>
      <c r="OG13" s="53">
        <f>MEDIAN(3,3,3,3,3,3,3,2,3,3)</f>
        <v>3</v>
      </c>
      <c r="OH13" s="54">
        <v>3</v>
      </c>
      <c r="OI13" s="53">
        <v>1</v>
      </c>
      <c r="OJ13" s="71">
        <f t="shared" si="84"/>
        <v>8</v>
      </c>
      <c r="OK13" s="53">
        <f>MEDIAN(3,3,3,3,3,3,3,2,3,3)</f>
        <v>3</v>
      </c>
      <c r="OL13">
        <f t="shared" si="85"/>
        <v>8</v>
      </c>
      <c r="ON13" s="191">
        <v>10</v>
      </c>
      <c r="OO13" s="53">
        <v>1</v>
      </c>
      <c r="OP13" s="53">
        <f>MEDIAN(3,3,3,3,2,2)</f>
        <v>3</v>
      </c>
      <c r="OQ13" s="54">
        <v>3</v>
      </c>
      <c r="OR13" s="53">
        <v>2</v>
      </c>
      <c r="OS13" s="71">
        <f t="shared" si="86"/>
        <v>9</v>
      </c>
      <c r="OT13" s="53">
        <f>MEDIAN(3,3,3,3,2,2)</f>
        <v>3</v>
      </c>
      <c r="OU13">
        <f t="shared" si="87"/>
        <v>9</v>
      </c>
      <c r="OW13" s="191">
        <v>10</v>
      </c>
      <c r="OX13" s="53">
        <v>0</v>
      </c>
      <c r="OY13" s="53">
        <f>AVERAGE(3,2,2,3,2,2,3)</f>
        <v>2.4285714285714284</v>
      </c>
      <c r="OZ13" s="54">
        <v>3</v>
      </c>
      <c r="PA13" s="53">
        <v>1</v>
      </c>
      <c r="PB13" s="71">
        <f t="shared" si="88"/>
        <v>6.4285714285714288</v>
      </c>
      <c r="PC13" s="53">
        <f>MEDIAN(3,2,2,3,2,2,3)</f>
        <v>2</v>
      </c>
      <c r="PD13">
        <f t="shared" si="89"/>
        <v>6</v>
      </c>
      <c r="PF13" s="191">
        <v>10</v>
      </c>
      <c r="PG13" s="53">
        <v>1</v>
      </c>
      <c r="PH13" s="53">
        <f>AVERAGE(3,3,3,3,2)</f>
        <v>2.8</v>
      </c>
      <c r="PI13" s="54">
        <v>3</v>
      </c>
      <c r="PJ13" s="53">
        <v>1</v>
      </c>
      <c r="PK13" s="71">
        <f t="shared" si="90"/>
        <v>7.8</v>
      </c>
      <c r="PL13" s="53">
        <f>MEDIAN(3,3,3,3,2)</f>
        <v>3</v>
      </c>
      <c r="PM13">
        <f t="shared" si="91"/>
        <v>8</v>
      </c>
      <c r="PO13" s="191">
        <v>10</v>
      </c>
      <c r="PP13" s="53">
        <v>0</v>
      </c>
      <c r="PQ13" s="53">
        <f>MEDIAN(3,3,2,3,3,1,2,2,3,2,3,1,2,2,2)</f>
        <v>2</v>
      </c>
      <c r="PR13" s="54">
        <v>1</v>
      </c>
      <c r="PS13" s="53">
        <v>1</v>
      </c>
      <c r="PT13" s="71">
        <f t="shared" si="92"/>
        <v>4</v>
      </c>
      <c r="PV13" s="191">
        <v>10</v>
      </c>
      <c r="PW13" s="53">
        <v>2</v>
      </c>
      <c r="PX13" s="53">
        <f>MEDIAN(2,2,3,2,2,2,3,2)</f>
        <v>2</v>
      </c>
      <c r="PY13" s="54">
        <v>3</v>
      </c>
      <c r="PZ13" s="53">
        <v>2</v>
      </c>
      <c r="QA13" s="71">
        <f t="shared" si="93"/>
        <v>9</v>
      </c>
      <c r="QB13" s="53">
        <f>MEDIAN(2,2,3,2,2,2,3,2)</f>
        <v>2</v>
      </c>
      <c r="QC13">
        <f t="shared" si="94"/>
        <v>9</v>
      </c>
      <c r="QE13" s="191">
        <v>10</v>
      </c>
      <c r="QF13" s="53">
        <v>0</v>
      </c>
      <c r="QG13" s="53">
        <f>MEDIAN(3,3,2,1,2,3,3,3,2)</f>
        <v>3</v>
      </c>
      <c r="QH13" s="54">
        <v>1</v>
      </c>
      <c r="QI13" s="53">
        <v>0</v>
      </c>
      <c r="QJ13" s="71">
        <f t="shared" si="95"/>
        <v>4</v>
      </c>
      <c r="QK13" s="53">
        <f>MEDIAN(3,3,2,1,2,3,3,3,2)</f>
        <v>3</v>
      </c>
      <c r="QL13">
        <f t="shared" si="96"/>
        <v>4</v>
      </c>
      <c r="QN13" s="191">
        <v>10</v>
      </c>
      <c r="QO13" s="53">
        <v>2</v>
      </c>
      <c r="QP13" s="53">
        <f>MEDIAN(3,2,3,3,2,3,2,2,2,3,3,3)</f>
        <v>3</v>
      </c>
      <c r="QQ13" s="54">
        <v>3</v>
      </c>
      <c r="QR13" s="53">
        <v>2</v>
      </c>
      <c r="QS13" s="71">
        <f t="shared" si="97"/>
        <v>10</v>
      </c>
      <c r="QT13" s="53">
        <f>MEDIAN(3,2,3,3,2,3,2,2,2,3,3,3)</f>
        <v>3</v>
      </c>
      <c r="QU13">
        <f t="shared" si="98"/>
        <v>10</v>
      </c>
      <c r="QW13" s="191">
        <v>10</v>
      </c>
      <c r="QX13" s="53">
        <v>0</v>
      </c>
      <c r="QY13" s="53">
        <f>AVERAGE(2,2,3,3)</f>
        <v>2.5</v>
      </c>
      <c r="QZ13" s="54">
        <v>3</v>
      </c>
      <c r="RA13" s="53">
        <v>1</v>
      </c>
      <c r="RB13" s="71">
        <f t="shared" si="99"/>
        <v>6.5</v>
      </c>
      <c r="RC13" s="53">
        <f>MEDIAN(2,2,3,3)</f>
        <v>2.5</v>
      </c>
      <c r="RD13">
        <f t="shared" si="100"/>
        <v>6.5</v>
      </c>
      <c r="RF13" s="191">
        <v>10</v>
      </c>
      <c r="RG13" s="53">
        <v>1</v>
      </c>
      <c r="RH13" s="53">
        <f>AVERAGE(2,2,3,3)</f>
        <v>2.5</v>
      </c>
      <c r="RI13" s="54">
        <v>2</v>
      </c>
      <c r="RJ13" s="53">
        <v>1</v>
      </c>
      <c r="RK13" s="71">
        <f t="shared" si="101"/>
        <v>6.5</v>
      </c>
      <c r="RL13" s="53">
        <f>MEDIAN(2,2,3,3)</f>
        <v>2.5</v>
      </c>
      <c r="RM13">
        <f t="shared" si="102"/>
        <v>6.5</v>
      </c>
      <c r="RO13" s="191">
        <v>10</v>
      </c>
      <c r="RP13" s="53">
        <v>1</v>
      </c>
      <c r="RQ13" s="53">
        <f>AVERAGE(3,3,3,2,2)</f>
        <v>2.6</v>
      </c>
      <c r="RR13" s="54">
        <v>1</v>
      </c>
      <c r="RS13" s="53">
        <v>1</v>
      </c>
      <c r="RT13" s="71">
        <f t="shared" si="103"/>
        <v>5.6</v>
      </c>
      <c r="RU13" s="53">
        <f>MEDIAN(3,3,3,2,2)</f>
        <v>3</v>
      </c>
      <c r="RV13">
        <f t="shared" si="104"/>
        <v>6</v>
      </c>
      <c r="RX13" s="191">
        <v>10</v>
      </c>
      <c r="RY13" s="53">
        <v>1</v>
      </c>
      <c r="RZ13" s="53">
        <f>AVERAGE(3,3,3,2,3,3,3,3,3)</f>
        <v>2.8888888888888888</v>
      </c>
      <c r="SA13" s="54">
        <v>1</v>
      </c>
      <c r="SB13" s="53">
        <v>1</v>
      </c>
      <c r="SC13" s="71">
        <f t="shared" si="105"/>
        <v>5.8888888888888893</v>
      </c>
      <c r="SD13" s="53">
        <f>MEDIAN(3,3,3,2,3,3,3,3,3)</f>
        <v>3</v>
      </c>
      <c r="SE13">
        <f t="shared" si="106"/>
        <v>6</v>
      </c>
      <c r="SG13" s="191">
        <v>10</v>
      </c>
      <c r="SH13" s="53">
        <v>1</v>
      </c>
      <c r="SI13" s="53">
        <f>MEDIAN(3,2,2,3,3,3,3,2,2,3,2,2,3,2)</f>
        <v>2.5</v>
      </c>
      <c r="SJ13" s="54">
        <v>1</v>
      </c>
      <c r="SK13" s="53">
        <v>0</v>
      </c>
      <c r="SL13" s="71">
        <f t="shared" si="107"/>
        <v>4.5</v>
      </c>
      <c r="SM13" s="53">
        <f>MEDIAN(3,2,2,3,3,3,3,2,2,3,2,2,3,2)</f>
        <v>2.5</v>
      </c>
      <c r="SN13">
        <f t="shared" si="108"/>
        <v>4.5</v>
      </c>
      <c r="SP13" s="191">
        <v>10</v>
      </c>
      <c r="SQ13" s="53">
        <v>1</v>
      </c>
      <c r="SR13" s="53">
        <f>MEDIAN(3,3,3,3,3,3,2,2)</f>
        <v>3</v>
      </c>
      <c r="SS13" s="54">
        <v>0</v>
      </c>
      <c r="ST13" s="53">
        <v>0</v>
      </c>
      <c r="SU13" s="71">
        <f t="shared" si="109"/>
        <v>4</v>
      </c>
      <c r="SV13" s="53">
        <f>MEDIAN(3,3,3,3,3,3,2,2)</f>
        <v>3</v>
      </c>
      <c r="SW13">
        <f t="shared" si="110"/>
        <v>4</v>
      </c>
      <c r="SY13" s="191">
        <v>10</v>
      </c>
      <c r="SZ13" s="53">
        <v>0</v>
      </c>
      <c r="TA13" s="53">
        <f>AVERAGE(2,3,2,3,2,2,3)</f>
        <v>2.4285714285714284</v>
      </c>
      <c r="TB13" s="54">
        <v>1</v>
      </c>
      <c r="TC13" s="53">
        <v>0</v>
      </c>
      <c r="TD13" s="71">
        <f t="shared" si="111"/>
        <v>3.4285714285714284</v>
      </c>
      <c r="TE13" s="53">
        <f>MEDIAN(2,3,2,3,2,2,3)</f>
        <v>2</v>
      </c>
      <c r="TF13">
        <f t="shared" si="112"/>
        <v>3</v>
      </c>
      <c r="TH13" s="191">
        <v>10</v>
      </c>
      <c r="TI13" s="53">
        <v>2</v>
      </c>
      <c r="TJ13" s="53">
        <f>MEDIAN(3,3,3)</f>
        <v>3</v>
      </c>
      <c r="TK13" s="54">
        <v>3</v>
      </c>
      <c r="TL13" s="53">
        <v>2</v>
      </c>
      <c r="TM13" s="71">
        <f t="shared" si="113"/>
        <v>10</v>
      </c>
      <c r="TN13" s="53">
        <f>MEDIAN(3,3,3)</f>
        <v>3</v>
      </c>
      <c r="TO13">
        <f t="shared" si="114"/>
        <v>10</v>
      </c>
      <c r="TQ13" s="191">
        <v>10</v>
      </c>
      <c r="TR13" s="53">
        <v>2</v>
      </c>
      <c r="TS13" s="53">
        <f>MEDIAN(2,3,3,3,2,2,2,3,3,2,3,3,3,2,3,2,2)</f>
        <v>3</v>
      </c>
      <c r="TT13" s="54">
        <v>3</v>
      </c>
      <c r="TU13" s="53">
        <v>2</v>
      </c>
      <c r="TV13" s="71">
        <f t="shared" si="115"/>
        <v>10</v>
      </c>
      <c r="TX13" s="191">
        <v>10</v>
      </c>
      <c r="TY13" s="53">
        <v>1</v>
      </c>
      <c r="TZ13" s="53">
        <f>MEDIAN(2,2,2,2,2,2,2,2,2)</f>
        <v>2</v>
      </c>
      <c r="UA13" s="54">
        <v>2</v>
      </c>
      <c r="UB13" s="53">
        <v>1</v>
      </c>
      <c r="UC13" s="71">
        <f t="shared" si="116"/>
        <v>6</v>
      </c>
      <c r="UD13" s="53">
        <f>MEDIAN(2,2,2,2,2,2,2,2,2)</f>
        <v>2</v>
      </c>
      <c r="UE13">
        <f t="shared" si="117"/>
        <v>6</v>
      </c>
      <c r="UG13" s="191">
        <v>10</v>
      </c>
      <c r="UH13" s="53">
        <v>0</v>
      </c>
      <c r="UI13" s="53">
        <f>MEDIAN(3,3,3,3,3,3,3,3,3,3,3,2,3,3,3)</f>
        <v>3</v>
      </c>
      <c r="UJ13" s="54">
        <v>1</v>
      </c>
      <c r="UK13" s="53">
        <v>3</v>
      </c>
      <c r="UL13" s="71">
        <f t="shared" si="118"/>
        <v>7</v>
      </c>
      <c r="UN13" s="191">
        <v>10</v>
      </c>
      <c r="UO13" s="53">
        <v>2</v>
      </c>
      <c r="UP13" s="53">
        <f>AVERAGE(3,3,3,2,2,3,3,3,3,2,2,3,3,2,2,3,2,2,3)</f>
        <v>2.5789473684210527</v>
      </c>
      <c r="UQ13" s="54">
        <v>3</v>
      </c>
      <c r="UR13" s="53">
        <v>1</v>
      </c>
      <c r="US13" s="71">
        <f t="shared" si="119"/>
        <v>8.5789473684210531</v>
      </c>
      <c r="UT13" s="53">
        <f>MEDIAN(3,3,3,2,2,3,3,3,3,2,2,3,3,2,2,3,2,2,3)</f>
        <v>3</v>
      </c>
      <c r="UU13">
        <f t="shared" si="120"/>
        <v>9</v>
      </c>
      <c r="UW13" s="191">
        <v>10</v>
      </c>
      <c r="UX13" s="53">
        <v>1</v>
      </c>
      <c r="UY13" s="53">
        <f>AVERAGE(3,2,3,3,3,3,3,3,3,3)</f>
        <v>2.9</v>
      </c>
      <c r="UZ13" s="54">
        <v>1</v>
      </c>
      <c r="VA13" s="53">
        <v>1</v>
      </c>
      <c r="VB13" s="71">
        <f t="shared" si="121"/>
        <v>5.9</v>
      </c>
      <c r="VC13" s="53">
        <f>MEDIAN(3,2,3,3,3,3,3,3,3,3)</f>
        <v>3</v>
      </c>
      <c r="VD13">
        <f t="shared" si="122"/>
        <v>6</v>
      </c>
      <c r="VF13" s="191">
        <v>10</v>
      </c>
      <c r="VG13" s="53">
        <v>1</v>
      </c>
      <c r="VH13" s="53">
        <f>AVERAGE(3,2,3,2,2)</f>
        <v>2.4</v>
      </c>
      <c r="VI13" s="54">
        <v>2</v>
      </c>
      <c r="VJ13" s="53">
        <v>2</v>
      </c>
      <c r="VK13" s="71">
        <f t="shared" si="123"/>
        <v>7.4</v>
      </c>
      <c r="VL13" s="53">
        <f>MEDIAN(3,2,3,2,2)</f>
        <v>2</v>
      </c>
      <c r="VM13">
        <f t="shared" si="124"/>
        <v>7</v>
      </c>
      <c r="VO13" s="191">
        <v>10</v>
      </c>
      <c r="VP13" s="53">
        <v>2</v>
      </c>
      <c r="VQ13" s="53">
        <f>AVERAGE(3,3,3,3,3,3,3,3)</f>
        <v>3</v>
      </c>
      <c r="VR13" s="54">
        <v>3</v>
      </c>
      <c r="VS13" s="53">
        <v>2</v>
      </c>
      <c r="VT13" s="71">
        <f t="shared" si="125"/>
        <v>10</v>
      </c>
      <c r="VU13" s="53">
        <f>MEDIAN(3,3,3,3,3,3,3,3)</f>
        <v>3</v>
      </c>
      <c r="VV13">
        <f t="shared" si="126"/>
        <v>10</v>
      </c>
    </row>
    <row r="14" spans="2:594" ht="15" thickBot="1" x14ac:dyDescent="0.4">
      <c r="B14" s="204">
        <v>11</v>
      </c>
      <c r="C14" s="198">
        <v>0</v>
      </c>
      <c r="D14" s="49">
        <f>AVERAGE(2,2)</f>
        <v>2</v>
      </c>
      <c r="E14" s="198">
        <v>0</v>
      </c>
      <c r="F14" s="198">
        <v>1</v>
      </c>
      <c r="G14" s="205">
        <f t="shared" si="0"/>
        <v>3</v>
      </c>
      <c r="H14" s="49">
        <f>MEDIAN(2,2)</f>
        <v>2</v>
      </c>
      <c r="I14" s="75">
        <f t="shared" si="1"/>
        <v>3</v>
      </c>
      <c r="K14" s="204">
        <v>11</v>
      </c>
      <c r="L14" s="198">
        <v>0</v>
      </c>
      <c r="M14" s="193">
        <f>AVERAGE(3,2,2,2,2,3,2,2,2,3,2,2,2)</f>
        <v>2.2307692307692308</v>
      </c>
      <c r="N14" s="198">
        <v>2</v>
      </c>
      <c r="O14" s="49">
        <v>3</v>
      </c>
      <c r="P14" s="194">
        <f t="shared" si="2"/>
        <v>7.2307692307692308</v>
      </c>
      <c r="Q14" s="193">
        <f>MEDIAN(3,2,2,2,2,3,2,2,2,3,2,2,2)</f>
        <v>2</v>
      </c>
      <c r="R14" s="75">
        <f t="shared" si="3"/>
        <v>7</v>
      </c>
      <c r="T14" s="190">
        <v>11</v>
      </c>
      <c r="U14" s="16">
        <v>1</v>
      </c>
      <c r="V14" s="16">
        <f>AVERAGE(2,2,3,3,3,2,2,2,3,3)</f>
        <v>2.5</v>
      </c>
      <c r="W14" s="16">
        <v>2</v>
      </c>
      <c r="X14" s="16">
        <v>1</v>
      </c>
      <c r="Y14" s="16">
        <f>MEDIAN(2,2,3,3,3,2,2,2,3,3)</f>
        <v>2.5</v>
      </c>
      <c r="Z14" s="18">
        <f t="shared" si="4"/>
        <v>6.5</v>
      </c>
      <c r="AB14" s="204">
        <v>11</v>
      </c>
      <c r="AC14" s="198">
        <v>2</v>
      </c>
      <c r="AD14" s="198">
        <f>AVERAGE(3,3)</f>
        <v>3</v>
      </c>
      <c r="AE14" s="198">
        <v>3</v>
      </c>
      <c r="AF14" s="198">
        <v>2</v>
      </c>
      <c r="AG14" s="198">
        <f>MEDIAN(3,3)</f>
        <v>3</v>
      </c>
      <c r="AH14" s="18">
        <f t="shared" si="5"/>
        <v>10</v>
      </c>
      <c r="AJ14" s="190">
        <v>11</v>
      </c>
      <c r="AK14" s="16">
        <v>2</v>
      </c>
      <c r="AL14" s="16">
        <f>AVERAGE(1,2,3,2)</f>
        <v>2</v>
      </c>
      <c r="AM14" s="16">
        <v>1</v>
      </c>
      <c r="AN14" s="16">
        <v>0</v>
      </c>
      <c r="AO14" s="18">
        <f t="shared" si="6"/>
        <v>5</v>
      </c>
      <c r="AP14" s="16">
        <f>MEDIAN(1,2,3,2)</f>
        <v>2</v>
      </c>
      <c r="AQ14" s="75">
        <f t="shared" si="7"/>
        <v>5</v>
      </c>
      <c r="AS14" s="204">
        <v>11</v>
      </c>
      <c r="AT14" s="198">
        <v>1</v>
      </c>
      <c r="AU14" s="198">
        <f>AVERAGE(3)</f>
        <v>3</v>
      </c>
      <c r="AV14" s="198">
        <v>2</v>
      </c>
      <c r="AW14" s="198">
        <v>1</v>
      </c>
      <c r="AX14" s="205">
        <f t="shared" si="8"/>
        <v>7</v>
      </c>
      <c r="AY14" s="198">
        <f>MEDIAN(3)</f>
        <v>3</v>
      </c>
      <c r="AZ14" s="75">
        <f t="shared" si="9"/>
        <v>7</v>
      </c>
      <c r="BB14" s="204">
        <v>11</v>
      </c>
      <c r="BC14" s="198">
        <v>1</v>
      </c>
      <c r="BD14" s="198">
        <f>MEDIAN(3,2,3)</f>
        <v>3</v>
      </c>
      <c r="BE14" s="198" t="s">
        <v>31</v>
      </c>
      <c r="BF14" s="198">
        <v>2</v>
      </c>
      <c r="BG14" s="205">
        <f>(SUM(BC14:BF14))*(4/3)</f>
        <v>8</v>
      </c>
      <c r="BH14" s="198">
        <f>MEDIAN(3,2,3)</f>
        <v>3</v>
      </c>
      <c r="BI14" s="75">
        <f t="shared" si="11"/>
        <v>6</v>
      </c>
      <c r="BK14" s="204">
        <v>11</v>
      </c>
      <c r="BL14" s="198">
        <v>1</v>
      </c>
      <c r="BM14" s="193">
        <f>MEDIAN(2,2,3,2,2,1,2,2,2,3,3,2,2)</f>
        <v>2</v>
      </c>
      <c r="BN14" s="198">
        <v>1</v>
      </c>
      <c r="BO14" s="198">
        <v>0</v>
      </c>
      <c r="BP14" s="205">
        <f t="shared" si="12"/>
        <v>4</v>
      </c>
      <c r="BQ14" s="193">
        <f>MEDIAN(2,2,3,2,2,1,2,2,2,3,3,2,2)</f>
        <v>2</v>
      </c>
      <c r="BR14" s="75">
        <f t="shared" si="13"/>
        <v>4</v>
      </c>
      <c r="BT14" s="204">
        <v>11</v>
      </c>
      <c r="BU14" s="198">
        <v>1</v>
      </c>
      <c r="BV14" s="198">
        <f>MEDIAN(3,3,3,2,2,2,2,3,2,2)</f>
        <v>2</v>
      </c>
      <c r="BW14" s="198">
        <v>0</v>
      </c>
      <c r="BX14" s="198">
        <v>1</v>
      </c>
      <c r="BY14" s="205">
        <f t="shared" si="14"/>
        <v>4</v>
      </c>
      <c r="CB14" s="204">
        <v>11</v>
      </c>
      <c r="CC14" s="198">
        <v>0</v>
      </c>
      <c r="CD14" s="198">
        <f>MEDIAN(3,3,3,2,2)</f>
        <v>3</v>
      </c>
      <c r="CE14" s="198">
        <v>3</v>
      </c>
      <c r="CF14" s="198">
        <v>1</v>
      </c>
      <c r="CG14" s="205">
        <f t="shared" si="15"/>
        <v>7</v>
      </c>
      <c r="CJ14" s="204">
        <v>11</v>
      </c>
      <c r="CK14" s="198">
        <v>2</v>
      </c>
      <c r="CL14" s="198">
        <f>MEDIAN(2,2,3,3,2,3,3,3,2,2,3)</f>
        <v>3</v>
      </c>
      <c r="CM14" s="198">
        <v>3</v>
      </c>
      <c r="CN14" s="198">
        <v>1</v>
      </c>
      <c r="CO14" s="205">
        <f t="shared" si="16"/>
        <v>9</v>
      </c>
      <c r="CP14" s="198">
        <f>MEDIAN(2,2,3,3,2,3,3,3,2,2,3)</f>
        <v>3</v>
      </c>
      <c r="CQ14" s="75">
        <f t="shared" si="17"/>
        <v>9</v>
      </c>
      <c r="CS14" s="204">
        <v>11</v>
      </c>
      <c r="CT14" s="198">
        <v>3</v>
      </c>
      <c r="CU14" s="198">
        <f>MEDIAN(2,2,2,2,2,2,2,3,2,3,2)</f>
        <v>2</v>
      </c>
      <c r="CV14" s="198">
        <v>3</v>
      </c>
      <c r="CW14" s="198">
        <v>1</v>
      </c>
      <c r="CX14" s="205">
        <f t="shared" si="18"/>
        <v>9</v>
      </c>
      <c r="CY14" s="198">
        <f>MEDIAN(2,2,2,2,2,2,2,3,2,3,2)</f>
        <v>2</v>
      </c>
      <c r="CZ14" s="75">
        <f t="shared" si="19"/>
        <v>9</v>
      </c>
      <c r="DB14" s="204">
        <v>11</v>
      </c>
      <c r="DC14" s="198">
        <v>1</v>
      </c>
      <c r="DD14" s="193">
        <f>AVERAGE(3,3,3,3,3,3,3,3,3,3,3,3,2,3,3)</f>
        <v>2.9333333333333331</v>
      </c>
      <c r="DE14" s="198">
        <v>2</v>
      </c>
      <c r="DF14" s="198">
        <v>1</v>
      </c>
      <c r="DG14" s="205">
        <f t="shared" si="20"/>
        <v>6.9333333333333336</v>
      </c>
      <c r="DH14" s="193">
        <f>MEDIAN(3,3,3,3,3,3,3,3,3,3,3,3,2,3,3)</f>
        <v>3</v>
      </c>
      <c r="DI14" s="75">
        <f t="shared" si="21"/>
        <v>7</v>
      </c>
      <c r="DK14" s="204">
        <v>11</v>
      </c>
      <c r="DL14" s="198">
        <v>1</v>
      </c>
      <c r="DM14" s="193">
        <f>AVERAGE(3,3,2,2,2,3)</f>
        <v>2.5</v>
      </c>
      <c r="DN14" s="198">
        <v>3</v>
      </c>
      <c r="DO14" s="198">
        <v>1</v>
      </c>
      <c r="DP14" s="205">
        <f t="shared" si="22"/>
        <v>7.5</v>
      </c>
      <c r="DQ14" s="193">
        <f>MEDIAN(3,3,2,2,2,3)</f>
        <v>2.5</v>
      </c>
      <c r="DR14" s="75">
        <f t="shared" si="23"/>
        <v>7.5</v>
      </c>
      <c r="DT14" s="204">
        <v>11</v>
      </c>
      <c r="DU14" s="198">
        <v>1</v>
      </c>
      <c r="DV14" s="193">
        <f>AVERAGE(2,3,2)</f>
        <v>2.3333333333333335</v>
      </c>
      <c r="DW14" s="198">
        <v>3</v>
      </c>
      <c r="DX14" s="198">
        <v>2</v>
      </c>
      <c r="DY14" s="205">
        <f t="shared" si="24"/>
        <v>8.3333333333333339</v>
      </c>
      <c r="DZ14" s="193">
        <f>MEDIAN(2,3,2)</f>
        <v>2</v>
      </c>
      <c r="EA14" s="75">
        <f t="shared" si="25"/>
        <v>8</v>
      </c>
      <c r="EC14" s="204">
        <v>11</v>
      </c>
      <c r="ED14" s="198">
        <v>2</v>
      </c>
      <c r="EE14" s="193">
        <f>AVERAGE(2,2,3,2,3)</f>
        <v>2.4</v>
      </c>
      <c r="EF14" s="198">
        <v>2</v>
      </c>
      <c r="EG14" s="198">
        <v>1</v>
      </c>
      <c r="EH14" s="205">
        <f t="shared" si="26"/>
        <v>7.4</v>
      </c>
      <c r="EI14" s="193">
        <f>MEDIAN(2,2,3,2,3)</f>
        <v>2</v>
      </c>
      <c r="EJ14" s="75">
        <f t="shared" si="27"/>
        <v>7</v>
      </c>
      <c r="EL14" s="204">
        <v>11</v>
      </c>
      <c r="EM14" s="198">
        <v>0</v>
      </c>
      <c r="EN14" s="198">
        <f>AVERAGE(2,2,2,2,2,2,3,2,2)</f>
        <v>2.1111111111111112</v>
      </c>
      <c r="EO14" s="198">
        <v>1</v>
      </c>
      <c r="EP14" s="198">
        <v>0</v>
      </c>
      <c r="EQ14" s="205">
        <f t="shared" si="28"/>
        <v>3.1111111111111112</v>
      </c>
      <c r="ER14" s="195">
        <f>MEDIAN(2,2,2,2,2,2,3,2,2)</f>
        <v>2</v>
      </c>
      <c r="ES14">
        <f t="shared" si="29"/>
        <v>3</v>
      </c>
      <c r="EU14" s="204">
        <v>11</v>
      </c>
      <c r="EV14" s="198">
        <v>2</v>
      </c>
      <c r="EW14" s="198">
        <f>AVERAGE(2,2,2,3,3,2,3,2,2,3,3)</f>
        <v>2.4545454545454546</v>
      </c>
      <c r="EX14" s="198">
        <v>1</v>
      </c>
      <c r="EY14" s="198">
        <v>1</v>
      </c>
      <c r="EZ14" s="205">
        <f t="shared" si="30"/>
        <v>6.454545454545455</v>
      </c>
      <c r="FA14" s="195">
        <f>MEDIAN(2,2,2,3,3,2,3,2,2,3,3)</f>
        <v>2</v>
      </c>
      <c r="FB14">
        <f t="shared" si="31"/>
        <v>6</v>
      </c>
      <c r="FD14" s="204">
        <v>11</v>
      </c>
      <c r="FE14" s="198">
        <v>0</v>
      </c>
      <c r="FF14" s="198">
        <f>AVERAGE(3,3,3,3,3)</f>
        <v>3</v>
      </c>
      <c r="FG14" s="198">
        <v>1</v>
      </c>
      <c r="FH14" s="198">
        <v>1</v>
      </c>
      <c r="FI14" s="205">
        <f t="shared" si="32"/>
        <v>5</v>
      </c>
      <c r="FJ14" s="195">
        <f>MEDIAN(3,3,3,3,3)</f>
        <v>3</v>
      </c>
      <c r="FK14">
        <f t="shared" si="33"/>
        <v>5</v>
      </c>
      <c r="FM14" s="204">
        <v>11</v>
      </c>
      <c r="FN14" s="198">
        <v>0</v>
      </c>
      <c r="FO14" s="198">
        <f>AVERAGE(3,2,3,3,2)</f>
        <v>2.6</v>
      </c>
      <c r="FP14" s="198">
        <v>3</v>
      </c>
      <c r="FQ14" s="198">
        <v>1</v>
      </c>
      <c r="FR14" s="205">
        <f t="shared" si="34"/>
        <v>6.6</v>
      </c>
      <c r="FS14" s="195">
        <f>MEDIAN(3,2,3,3,2)</f>
        <v>3</v>
      </c>
      <c r="FT14">
        <f t="shared" si="35"/>
        <v>7</v>
      </c>
      <c r="FV14" s="204">
        <v>11</v>
      </c>
      <c r="FW14" s="198">
        <v>2</v>
      </c>
      <c r="FX14" s="198">
        <f>MEDIAN(3,2,2,2,3,2,3,2,3,2,3,2,3,2,2,3)</f>
        <v>2</v>
      </c>
      <c r="FY14" s="198">
        <v>3</v>
      </c>
      <c r="FZ14" s="198">
        <v>1</v>
      </c>
      <c r="GA14" s="205">
        <f t="shared" si="36"/>
        <v>8</v>
      </c>
      <c r="GB14" s="198">
        <f>MEDIAN(3,2,2,2,3,2,3,2,3,2,3,2,3,2,2,3)</f>
        <v>2</v>
      </c>
      <c r="GC14">
        <f t="shared" si="37"/>
        <v>8</v>
      </c>
      <c r="GE14" s="204">
        <v>11</v>
      </c>
      <c r="GF14" s="198">
        <v>0</v>
      </c>
      <c r="GG14" s="198">
        <f>MEDIAN(3,3,3,3,3,3,3)</f>
        <v>3</v>
      </c>
      <c r="GH14" s="198">
        <v>0</v>
      </c>
      <c r="GI14" s="198">
        <v>0</v>
      </c>
      <c r="GJ14" s="18">
        <f t="shared" si="38"/>
        <v>3</v>
      </c>
      <c r="GK14" s="198">
        <f>MEDIAN(3,3,3,3,3,3,3)</f>
        <v>3</v>
      </c>
      <c r="GL14">
        <f t="shared" si="39"/>
        <v>3</v>
      </c>
      <c r="GN14" s="204">
        <v>11</v>
      </c>
      <c r="GO14" s="198">
        <v>0</v>
      </c>
      <c r="GP14" s="198">
        <f>AVERAGE(2,1,3,3,2,1)</f>
        <v>2</v>
      </c>
      <c r="GQ14" s="198">
        <v>0</v>
      </c>
      <c r="GR14" s="198">
        <v>0</v>
      </c>
      <c r="GS14" s="205">
        <f t="shared" si="40"/>
        <v>2</v>
      </c>
      <c r="GT14" s="196">
        <f>MEDIAN(2,1,3,3,2,1)</f>
        <v>2</v>
      </c>
      <c r="GU14" s="32">
        <f t="shared" si="41"/>
        <v>2</v>
      </c>
      <c r="GW14" s="204">
        <v>11</v>
      </c>
      <c r="GX14" s="198">
        <v>0</v>
      </c>
      <c r="GY14" s="198">
        <f>AVERAGE(2,2,2,3)</f>
        <v>2.25</v>
      </c>
      <c r="GZ14" s="198">
        <v>2</v>
      </c>
      <c r="HA14" s="198">
        <v>1</v>
      </c>
      <c r="HB14" s="205">
        <f t="shared" si="42"/>
        <v>5.25</v>
      </c>
      <c r="HC14" s="196">
        <f>MEDIAN(2,2,2,3)</f>
        <v>2</v>
      </c>
      <c r="HD14">
        <f t="shared" si="43"/>
        <v>5</v>
      </c>
      <c r="HF14" s="204">
        <v>11</v>
      </c>
      <c r="HG14" s="198">
        <v>0</v>
      </c>
      <c r="HH14" s="198">
        <f>AVERAGE(3,3,2,3,3,2,3,3,3)</f>
        <v>2.7777777777777777</v>
      </c>
      <c r="HI14" s="198">
        <v>0</v>
      </c>
      <c r="HJ14" s="198">
        <v>0</v>
      </c>
      <c r="HK14" s="205">
        <f t="shared" si="44"/>
        <v>2.7777777777777777</v>
      </c>
      <c r="HL14" s="198">
        <f>MEDIAN(3,3,2,3,3,2,3,3,3)</f>
        <v>3</v>
      </c>
      <c r="HM14">
        <f t="shared" si="45"/>
        <v>3</v>
      </c>
      <c r="HO14" s="204">
        <v>11</v>
      </c>
      <c r="HP14" s="198">
        <v>0</v>
      </c>
      <c r="HQ14" s="198">
        <f>AVERAGE(2,3)</f>
        <v>2.5</v>
      </c>
      <c r="HR14" s="198">
        <v>3</v>
      </c>
      <c r="HS14" s="198">
        <v>2</v>
      </c>
      <c r="HT14" s="205">
        <f t="shared" si="46"/>
        <v>7.5</v>
      </c>
      <c r="HU14" s="198">
        <f>MEDIAN(2,3)</f>
        <v>2.5</v>
      </c>
      <c r="HV14">
        <f t="shared" si="47"/>
        <v>7.5</v>
      </c>
      <c r="HX14" s="204">
        <v>11</v>
      </c>
      <c r="HY14" s="198">
        <v>0</v>
      </c>
      <c r="HZ14" s="198">
        <f>MEDIAN(3,3,3,3,2,2,2,3,3,3,2,2,3,3)</f>
        <v>3</v>
      </c>
      <c r="IA14" s="198">
        <v>3</v>
      </c>
      <c r="IB14" s="198">
        <v>1</v>
      </c>
      <c r="IC14" s="205">
        <f t="shared" si="48"/>
        <v>7</v>
      </c>
      <c r="ID14" s="198">
        <f>MEDIAN(3,3,3,3,2,2,2,3,3,3,2,2,3,3)</f>
        <v>3</v>
      </c>
      <c r="IE14">
        <f t="shared" si="49"/>
        <v>7</v>
      </c>
      <c r="IG14" s="204">
        <v>11</v>
      </c>
      <c r="IH14" s="198">
        <v>0</v>
      </c>
      <c r="II14" s="198">
        <f>MEDIAN(3,3,2,3,3,2,3,2,3,2)</f>
        <v>3</v>
      </c>
      <c r="IJ14" s="198">
        <v>1</v>
      </c>
      <c r="IK14" s="198">
        <v>1</v>
      </c>
      <c r="IL14" s="205">
        <f t="shared" si="50"/>
        <v>5</v>
      </c>
      <c r="IM14" s="198">
        <f>MEDIAN(3,3,2,3,3,2,3,2,3,2)</f>
        <v>3</v>
      </c>
      <c r="IN14">
        <f t="shared" si="51"/>
        <v>5</v>
      </c>
      <c r="IP14" s="204">
        <v>11</v>
      </c>
      <c r="IQ14" s="198">
        <v>1</v>
      </c>
      <c r="IR14" s="198">
        <f>AVERAGE(3,3,3,3,3,3,2)</f>
        <v>2.8571428571428572</v>
      </c>
      <c r="IS14" s="198" t="s">
        <v>31</v>
      </c>
      <c r="IT14" s="198">
        <v>1</v>
      </c>
      <c r="IU14" s="205">
        <f t="shared" si="52"/>
        <v>4.8571428571428577</v>
      </c>
      <c r="IV14" s="198">
        <f>MEDIAN(3,3,3,3,3,3,2)</f>
        <v>3</v>
      </c>
      <c r="IW14">
        <f t="shared" si="53"/>
        <v>5</v>
      </c>
      <c r="IX14">
        <f>IW14*(4/3)</f>
        <v>6.6666666666666661</v>
      </c>
      <c r="IY14" s="204">
        <v>11</v>
      </c>
      <c r="IZ14" s="198">
        <v>0</v>
      </c>
      <c r="JA14" s="198">
        <f>AVERAGE(3,3,3,3,3,3)</f>
        <v>3</v>
      </c>
      <c r="JB14" s="198">
        <v>3</v>
      </c>
      <c r="JC14" s="198">
        <v>2</v>
      </c>
      <c r="JD14" s="205">
        <f t="shared" si="54"/>
        <v>8</v>
      </c>
      <c r="JE14" s="198">
        <f>MEDIAN(3,3,3,3,3,3)</f>
        <v>3</v>
      </c>
      <c r="JF14">
        <f t="shared" si="55"/>
        <v>8</v>
      </c>
      <c r="JH14" s="204">
        <v>11</v>
      </c>
      <c r="JI14" s="198">
        <v>0</v>
      </c>
      <c r="JJ14" s="198">
        <f>MEDIAN(3,3,3,3,3,3,3,3)</f>
        <v>3</v>
      </c>
      <c r="JK14" s="198">
        <v>3</v>
      </c>
      <c r="JL14" s="198">
        <v>3</v>
      </c>
      <c r="JM14" s="205">
        <f t="shared" si="56"/>
        <v>9</v>
      </c>
      <c r="JN14" s="198">
        <f>MEDIAN(3,3,3,3,3,3,3,3)</f>
        <v>3</v>
      </c>
      <c r="JO14">
        <f t="shared" si="57"/>
        <v>9</v>
      </c>
      <c r="JQ14" s="204">
        <v>11</v>
      </c>
      <c r="JR14" s="198">
        <v>0</v>
      </c>
      <c r="JS14" s="198">
        <f>MEDIAN(3,3,3,3,3,3,3)</f>
        <v>3</v>
      </c>
      <c r="JT14" s="198">
        <v>0</v>
      </c>
      <c r="JU14" s="198">
        <v>1</v>
      </c>
      <c r="JV14" s="205">
        <f t="shared" si="58"/>
        <v>4</v>
      </c>
      <c r="JW14" s="198">
        <f>MEDIAN(3,3,3,3,3,3,3)</f>
        <v>3</v>
      </c>
      <c r="JX14">
        <f t="shared" si="59"/>
        <v>4</v>
      </c>
      <c r="JZ14" s="204">
        <v>11</v>
      </c>
      <c r="KA14" s="198">
        <v>1</v>
      </c>
      <c r="KB14" s="198">
        <f>AVERAGE(3,2,3,3,3,3,3,3,2,3)</f>
        <v>2.8</v>
      </c>
      <c r="KC14" s="198">
        <v>1</v>
      </c>
      <c r="KD14" s="198">
        <v>1</v>
      </c>
      <c r="KE14" s="205">
        <f t="shared" si="60"/>
        <v>5.8</v>
      </c>
      <c r="KF14" s="198">
        <f>MEDIAN(3,2,3,3,3,3,3,3,2,3)</f>
        <v>3</v>
      </c>
      <c r="KG14">
        <f t="shared" si="61"/>
        <v>6</v>
      </c>
      <c r="KI14" s="204">
        <v>11</v>
      </c>
      <c r="KJ14" s="198">
        <v>0</v>
      </c>
      <c r="KK14" s="198">
        <f>AVERAGE(3,2,3,2,3,3,3,3,2,2,3)</f>
        <v>2.6363636363636362</v>
      </c>
      <c r="KL14" s="198">
        <v>1</v>
      </c>
      <c r="KM14" s="198">
        <v>0</v>
      </c>
      <c r="KN14" s="205">
        <f t="shared" si="62"/>
        <v>3.6363636363636362</v>
      </c>
      <c r="KO14" s="198">
        <f>MEDIAN(3,2,3,2,3,3,3,3,2,2,3)</f>
        <v>3</v>
      </c>
      <c r="KP14">
        <f t="shared" si="63"/>
        <v>4</v>
      </c>
      <c r="KR14" s="204">
        <v>11</v>
      </c>
      <c r="KS14" s="198">
        <v>1</v>
      </c>
      <c r="KT14" s="198">
        <f>AVERAGE(3,3,2,3)</f>
        <v>2.75</v>
      </c>
      <c r="KU14" s="198" t="s">
        <v>31</v>
      </c>
      <c r="KV14" s="198">
        <v>3</v>
      </c>
      <c r="KW14" s="205">
        <f t="shared" si="64"/>
        <v>6.75</v>
      </c>
      <c r="KX14" s="198">
        <f>MEDIAN(3,3,2,3)</f>
        <v>3</v>
      </c>
      <c r="KY14">
        <f t="shared" si="65"/>
        <v>7</v>
      </c>
      <c r="KZ14">
        <f>KY14*(4/3)</f>
        <v>9.3333333333333321</v>
      </c>
      <c r="LA14" s="204">
        <v>11</v>
      </c>
      <c r="LB14" s="198">
        <v>1</v>
      </c>
      <c r="LC14" s="198">
        <f>AVERAGE(3,3,2,3,3,3,3,2,3)</f>
        <v>2.7777777777777777</v>
      </c>
      <c r="LD14" s="198">
        <v>2</v>
      </c>
      <c r="LE14" s="198">
        <v>2</v>
      </c>
      <c r="LF14" s="205">
        <f t="shared" si="66"/>
        <v>7.7777777777777777</v>
      </c>
      <c r="LG14" s="198">
        <f>MEDIAN(3,3,2,3,3,3,3,2,3)</f>
        <v>3</v>
      </c>
      <c r="LH14">
        <f t="shared" si="67"/>
        <v>8</v>
      </c>
      <c r="LK14" s="204">
        <v>11</v>
      </c>
      <c r="LL14" s="198">
        <v>0</v>
      </c>
      <c r="LM14" s="198">
        <f>AVERAGE(2,2,2,3,3,3,2,2,2)</f>
        <v>2.3333333333333335</v>
      </c>
      <c r="LN14" s="198">
        <v>2</v>
      </c>
      <c r="LO14" s="198">
        <v>1</v>
      </c>
      <c r="LP14" s="205">
        <f t="shared" si="68"/>
        <v>5.3333333333333339</v>
      </c>
      <c r="LQ14" s="198">
        <f>MEDIAN(2,2,2,3,3,3,2,2,2)</f>
        <v>2</v>
      </c>
      <c r="LR14">
        <f t="shared" si="69"/>
        <v>5</v>
      </c>
      <c r="LT14" s="204">
        <v>11</v>
      </c>
      <c r="LU14" s="198">
        <v>1</v>
      </c>
      <c r="LV14" s="198">
        <f>AVERAGE(3,3,3,3,3,3,3,3)</f>
        <v>3</v>
      </c>
      <c r="LW14" s="198">
        <v>3</v>
      </c>
      <c r="LX14" s="198">
        <v>1</v>
      </c>
      <c r="LY14" s="205">
        <f t="shared" si="70"/>
        <v>8</v>
      </c>
      <c r="LZ14" s="198">
        <f>MEDIAN(3,3,3,3,3,3,3,3)</f>
        <v>3</v>
      </c>
      <c r="MA14">
        <f t="shared" si="71"/>
        <v>8</v>
      </c>
      <c r="MC14" s="204">
        <v>11</v>
      </c>
      <c r="MD14" s="198">
        <v>0</v>
      </c>
      <c r="ME14" s="198">
        <f>AVERAGE(3,3,3,3,3,3,2)</f>
        <v>2.8571428571428572</v>
      </c>
      <c r="MF14" s="198">
        <v>1</v>
      </c>
      <c r="MG14" s="198">
        <v>0</v>
      </c>
      <c r="MH14" s="205">
        <f t="shared" si="72"/>
        <v>3.8571428571428572</v>
      </c>
      <c r="MI14" s="198">
        <f>MEDIAN(3,3,3,3,3,3,2)</f>
        <v>3</v>
      </c>
      <c r="MJ14">
        <f t="shared" si="73"/>
        <v>4</v>
      </c>
      <c r="ML14" s="204">
        <v>11</v>
      </c>
      <c r="MM14" s="198">
        <v>1</v>
      </c>
      <c r="MN14" s="198">
        <f>AVERAGE(3,3,2,3,2,3,3,3,3)</f>
        <v>2.7777777777777777</v>
      </c>
      <c r="MO14" s="198">
        <v>3</v>
      </c>
      <c r="MP14" s="198">
        <v>1</v>
      </c>
      <c r="MQ14" s="205">
        <f t="shared" si="74"/>
        <v>7.7777777777777777</v>
      </c>
      <c r="MR14" s="198">
        <f>MEDIAN(3,3,2,3,2,3,3,3,3)</f>
        <v>3</v>
      </c>
      <c r="MS14">
        <f t="shared" si="75"/>
        <v>8</v>
      </c>
      <c r="MU14" s="204">
        <v>11</v>
      </c>
      <c r="MV14" s="198">
        <v>1</v>
      </c>
      <c r="MW14" s="198">
        <f>MEDIAN(3,3,3,2,3,3)</f>
        <v>3</v>
      </c>
      <c r="MX14" s="198">
        <v>2</v>
      </c>
      <c r="MY14" s="198">
        <v>1</v>
      </c>
      <c r="MZ14" s="205">
        <f t="shared" si="76"/>
        <v>7</v>
      </c>
      <c r="NA14" s="198">
        <f>MEDIAN(3,3,3,2,3,3)</f>
        <v>3</v>
      </c>
      <c r="NB14">
        <f t="shared" si="77"/>
        <v>7</v>
      </c>
      <c r="ND14" s="204">
        <v>11</v>
      </c>
      <c r="NE14" s="198">
        <v>0</v>
      </c>
      <c r="NF14" s="198">
        <f>MEDIAN(3,3,2,3,2,2,2,3,2,2,2,2)</f>
        <v>2</v>
      </c>
      <c r="NG14" s="198">
        <v>2</v>
      </c>
      <c r="NH14" s="198">
        <v>1</v>
      </c>
      <c r="NI14" s="205">
        <f t="shared" si="78"/>
        <v>5</v>
      </c>
      <c r="NJ14" s="198">
        <f>MEDIAN(3,3,2,3,2,2,2,3,2,2,2,2)</f>
        <v>2</v>
      </c>
      <c r="NK14">
        <f t="shared" si="79"/>
        <v>5</v>
      </c>
      <c r="NM14" s="204">
        <v>11</v>
      </c>
      <c r="NN14" s="198">
        <v>1</v>
      </c>
      <c r="NO14" s="198">
        <f>AVERAGE(3,2,3,3,3)</f>
        <v>2.8</v>
      </c>
      <c r="NP14" s="198">
        <v>0</v>
      </c>
      <c r="NQ14" s="198">
        <v>0</v>
      </c>
      <c r="NR14" s="205">
        <f t="shared" si="80"/>
        <v>3.8</v>
      </c>
      <c r="NS14" s="198">
        <f>MEDIAN(3,2,3,3,3)</f>
        <v>3</v>
      </c>
      <c r="NT14">
        <f t="shared" si="81"/>
        <v>4</v>
      </c>
      <c r="NV14" s="204">
        <v>11</v>
      </c>
      <c r="NW14" s="198">
        <v>0</v>
      </c>
      <c r="NX14" s="198">
        <f>AVERAGE(3,2,2,3,3,3,3,3,3,3,3,3,3,2,3,3,3,3,3,3)</f>
        <v>2.85</v>
      </c>
      <c r="NY14" s="198">
        <v>3</v>
      </c>
      <c r="NZ14" s="198">
        <v>1</v>
      </c>
      <c r="OA14" s="205">
        <f t="shared" si="82"/>
        <v>6.85</v>
      </c>
      <c r="OB14" s="198">
        <f>MEDIAN(3,2,2,3,3,3,3,3,3,3,3,3,3,2,3,3,3,3,3,3)</f>
        <v>3</v>
      </c>
      <c r="OC14">
        <f t="shared" si="83"/>
        <v>7</v>
      </c>
      <c r="OE14" s="204">
        <v>11</v>
      </c>
      <c r="OF14" s="198">
        <v>1</v>
      </c>
      <c r="OG14" s="198">
        <f>MEDIAN(3,3,3,3,3,3,3)</f>
        <v>3</v>
      </c>
      <c r="OH14" s="198">
        <v>1</v>
      </c>
      <c r="OI14" s="198">
        <v>0</v>
      </c>
      <c r="OJ14" s="205">
        <f t="shared" si="84"/>
        <v>5</v>
      </c>
      <c r="OK14" s="198">
        <f>MEDIAN(3,3,3,3,3,3,3)</f>
        <v>3</v>
      </c>
      <c r="OL14">
        <f t="shared" si="85"/>
        <v>5</v>
      </c>
      <c r="ON14" s="204">
        <v>11</v>
      </c>
      <c r="OO14" s="198">
        <v>1</v>
      </c>
      <c r="OP14" s="198">
        <f>MEDIAN(3,3,3,3,2,3,3,3,2,3)</f>
        <v>3</v>
      </c>
      <c r="OQ14" s="198">
        <v>2</v>
      </c>
      <c r="OR14" s="198">
        <v>2</v>
      </c>
      <c r="OS14" s="205">
        <f t="shared" si="86"/>
        <v>8</v>
      </c>
      <c r="OT14" s="198">
        <f>MEDIAN(3,3,3,3,2,3,3,3,2,3)</f>
        <v>3</v>
      </c>
      <c r="OU14">
        <f t="shared" si="87"/>
        <v>8</v>
      </c>
      <c r="OW14" s="204">
        <v>11</v>
      </c>
      <c r="OX14" s="198">
        <v>1</v>
      </c>
      <c r="OY14" s="198">
        <f>AVERAGE(3,2,3,2,2)</f>
        <v>2.4</v>
      </c>
      <c r="OZ14" s="198">
        <v>2</v>
      </c>
      <c r="PA14" s="198">
        <v>1</v>
      </c>
      <c r="PB14" s="205">
        <f t="shared" si="88"/>
        <v>6.4</v>
      </c>
      <c r="PC14" s="198">
        <f>MEDIAN(3,2,3,2,2)</f>
        <v>2</v>
      </c>
      <c r="PD14">
        <f t="shared" si="89"/>
        <v>6</v>
      </c>
      <c r="PF14" s="204">
        <v>11</v>
      </c>
      <c r="PG14" s="198">
        <v>1</v>
      </c>
      <c r="PH14" s="198">
        <f>AVERAGE(3,3,2,3,3,2,3,2)</f>
        <v>2.625</v>
      </c>
      <c r="PI14" s="198">
        <v>1</v>
      </c>
      <c r="PJ14" s="198">
        <v>0</v>
      </c>
      <c r="PK14" s="205">
        <f t="shared" si="90"/>
        <v>4.625</v>
      </c>
      <c r="PL14" s="198">
        <f>MEDIAN(3,3,2,3,3,2,3,2)</f>
        <v>3</v>
      </c>
      <c r="PM14">
        <f t="shared" si="91"/>
        <v>5</v>
      </c>
      <c r="PO14" s="204">
        <v>11</v>
      </c>
      <c r="PP14" s="198">
        <v>1</v>
      </c>
      <c r="PQ14" s="198">
        <f>MEDIAN(1,1,2,2,2,2,1,2,2)</f>
        <v>2</v>
      </c>
      <c r="PR14" s="198">
        <v>1</v>
      </c>
      <c r="PS14" s="198">
        <v>0</v>
      </c>
      <c r="PT14" s="205">
        <f t="shared" si="92"/>
        <v>4</v>
      </c>
      <c r="PV14" s="204">
        <v>11</v>
      </c>
      <c r="PW14" s="198">
        <v>1</v>
      </c>
      <c r="PX14" s="198">
        <f>MEDIAN(3,3,3,3)</f>
        <v>3</v>
      </c>
      <c r="PY14" s="198">
        <v>1</v>
      </c>
      <c r="PZ14" s="198">
        <v>1</v>
      </c>
      <c r="QA14" s="205">
        <f t="shared" si="93"/>
        <v>6</v>
      </c>
      <c r="QB14" s="198">
        <f>MEDIAN(3,3,3,3)</f>
        <v>3</v>
      </c>
      <c r="QC14">
        <f t="shared" si="94"/>
        <v>6</v>
      </c>
      <c r="QE14" s="204">
        <v>11</v>
      </c>
      <c r="QF14" s="198">
        <v>0</v>
      </c>
      <c r="QG14" s="198">
        <f>MEDIAN(2,2,3,3,3,3)</f>
        <v>3</v>
      </c>
      <c r="QH14" s="198">
        <v>1</v>
      </c>
      <c r="QI14" s="198">
        <v>1</v>
      </c>
      <c r="QJ14" s="205">
        <f t="shared" si="95"/>
        <v>5</v>
      </c>
      <c r="QK14" s="198">
        <f>MEDIAN(2,2,3,3,3,3)</f>
        <v>3</v>
      </c>
      <c r="QL14">
        <f t="shared" si="96"/>
        <v>5</v>
      </c>
      <c r="QN14" s="204">
        <v>11</v>
      </c>
      <c r="QO14" s="198">
        <v>2</v>
      </c>
      <c r="QP14" s="198">
        <f>MEDIAN(3,3,3,2,3,3,2,3)</f>
        <v>3</v>
      </c>
      <c r="QQ14" s="198">
        <v>3</v>
      </c>
      <c r="QR14" s="198">
        <v>2</v>
      </c>
      <c r="QS14" s="205">
        <f t="shared" si="97"/>
        <v>10</v>
      </c>
      <c r="QT14" s="198">
        <f>MEDIAN(3,3,3,2,3,3,2,3)</f>
        <v>3</v>
      </c>
      <c r="QU14">
        <f t="shared" si="98"/>
        <v>10</v>
      </c>
      <c r="QW14" s="204">
        <v>11</v>
      </c>
      <c r="QX14" s="198">
        <v>0</v>
      </c>
      <c r="QY14" s="198">
        <f>AVERAGE(3,2,3,3,3,2,3,3,3,2,2,3,3,3)</f>
        <v>2.7142857142857144</v>
      </c>
      <c r="QZ14" s="198">
        <v>2</v>
      </c>
      <c r="RA14" s="198">
        <v>1</v>
      </c>
      <c r="RB14" s="205">
        <f t="shared" si="99"/>
        <v>5.7142857142857144</v>
      </c>
      <c r="RC14" s="198">
        <f>MEDIAN(3,2,3,3,3,2,3,3,3,2,2,3,3,3)</f>
        <v>3</v>
      </c>
      <c r="RD14">
        <f t="shared" si="100"/>
        <v>6</v>
      </c>
      <c r="RF14" s="204">
        <v>11</v>
      </c>
      <c r="RG14" s="198">
        <v>1</v>
      </c>
      <c r="RH14" s="198">
        <f>AVERAGE(2,3,3,3,3,3,3,2,2,3,3)</f>
        <v>2.7272727272727271</v>
      </c>
      <c r="RI14" s="198">
        <v>1</v>
      </c>
      <c r="RJ14" s="198">
        <v>0</v>
      </c>
      <c r="RK14" s="205">
        <f t="shared" si="101"/>
        <v>4.7272727272727266</v>
      </c>
      <c r="RL14" s="198">
        <f>MEDIAN(2,3,3,3,3,3,3,2,2,3,3)</f>
        <v>3</v>
      </c>
      <c r="RM14">
        <f t="shared" si="102"/>
        <v>5</v>
      </c>
      <c r="RO14" s="204">
        <v>11</v>
      </c>
      <c r="RP14" s="198">
        <v>1</v>
      </c>
      <c r="RQ14" s="198">
        <f>AVERAGE(3,2,2,3,2)</f>
        <v>2.4</v>
      </c>
      <c r="RR14" s="198">
        <v>3</v>
      </c>
      <c r="RS14" s="198">
        <v>2</v>
      </c>
      <c r="RT14" s="205">
        <f t="shared" si="103"/>
        <v>8.4</v>
      </c>
      <c r="RU14" s="198">
        <f>MEDIAN(3,2,2,3,2)</f>
        <v>2</v>
      </c>
      <c r="RV14">
        <f t="shared" si="104"/>
        <v>8</v>
      </c>
      <c r="RX14" s="204">
        <v>11</v>
      </c>
      <c r="RY14" s="198">
        <v>2</v>
      </c>
      <c r="RZ14" s="198">
        <f>AVERAGE(3,2,2,3)</f>
        <v>2.5</v>
      </c>
      <c r="SA14" s="198">
        <v>3</v>
      </c>
      <c r="SB14" s="198">
        <v>2</v>
      </c>
      <c r="SC14" s="205">
        <f t="shared" si="105"/>
        <v>9.5</v>
      </c>
      <c r="SD14" s="198">
        <f>MEDIAN(3,2,2,3)</f>
        <v>2.5</v>
      </c>
      <c r="SE14">
        <f t="shared" si="106"/>
        <v>9.5</v>
      </c>
      <c r="SG14" s="204">
        <v>11</v>
      </c>
      <c r="SH14" s="198">
        <v>0</v>
      </c>
      <c r="SI14" s="198">
        <f>MEDIAN(2,3,2,2,2)</f>
        <v>2</v>
      </c>
      <c r="SJ14" s="198">
        <v>1</v>
      </c>
      <c r="SK14" s="198">
        <v>1</v>
      </c>
      <c r="SL14" s="205">
        <f t="shared" si="107"/>
        <v>4</v>
      </c>
      <c r="SM14" s="198">
        <f>MEDIAN(2,3,2,2,2)</f>
        <v>2</v>
      </c>
      <c r="SN14">
        <f t="shared" si="108"/>
        <v>4</v>
      </c>
      <c r="SP14" s="204">
        <v>11</v>
      </c>
      <c r="SQ14" s="198">
        <v>1</v>
      </c>
      <c r="SR14" s="198">
        <f>MEDIAN(3,3,3,3,3,3,3,2)</f>
        <v>3</v>
      </c>
      <c r="SS14" s="198">
        <v>0</v>
      </c>
      <c r="ST14" s="198">
        <v>0</v>
      </c>
      <c r="SU14" s="205">
        <f t="shared" si="109"/>
        <v>4</v>
      </c>
      <c r="SV14" s="198">
        <f>MEDIAN(3,3,3,3,3,3,3,2)</f>
        <v>3</v>
      </c>
      <c r="SW14">
        <f t="shared" si="110"/>
        <v>4</v>
      </c>
      <c r="SY14" s="204">
        <v>11</v>
      </c>
      <c r="SZ14" s="198">
        <v>1</v>
      </c>
      <c r="TA14" s="198">
        <f>AVERAGE(3,2,2,2,2,2,3)</f>
        <v>2.2857142857142856</v>
      </c>
      <c r="TB14" s="198">
        <v>1</v>
      </c>
      <c r="TC14" s="198">
        <v>1</v>
      </c>
      <c r="TD14" s="205">
        <f t="shared" si="111"/>
        <v>5.2857142857142856</v>
      </c>
      <c r="TE14" s="198">
        <f>MEDIAN(3,2,2,2,2,2,3)</f>
        <v>2</v>
      </c>
      <c r="TF14">
        <f t="shared" si="112"/>
        <v>5</v>
      </c>
      <c r="TH14" s="204">
        <v>11</v>
      </c>
      <c r="TI14" s="198">
        <v>2</v>
      </c>
      <c r="TJ14" s="198">
        <f>MEDIAN(3,3,3,2)</f>
        <v>3</v>
      </c>
      <c r="TK14" s="198">
        <v>3</v>
      </c>
      <c r="TL14" s="198">
        <v>3</v>
      </c>
      <c r="TM14" s="205">
        <f t="shared" si="113"/>
        <v>11</v>
      </c>
      <c r="TN14" s="198">
        <f>MEDIAN(3,3,3,2)</f>
        <v>3</v>
      </c>
      <c r="TO14">
        <f t="shared" si="114"/>
        <v>11</v>
      </c>
      <c r="TQ14" s="204">
        <v>11</v>
      </c>
      <c r="TR14" s="198">
        <v>1</v>
      </c>
      <c r="TS14" s="198">
        <f>MEDIAN(3,2,1)</f>
        <v>2</v>
      </c>
      <c r="TT14" s="198">
        <v>0</v>
      </c>
      <c r="TU14" s="198">
        <v>1</v>
      </c>
      <c r="TV14" s="205">
        <f t="shared" si="115"/>
        <v>4</v>
      </c>
      <c r="TX14" s="204">
        <v>11</v>
      </c>
      <c r="TY14" s="198">
        <v>1</v>
      </c>
      <c r="TZ14" s="198">
        <f>MEDIAN(2,2,2,2,2,2,2,2)</f>
        <v>2</v>
      </c>
      <c r="UA14" s="198">
        <v>1</v>
      </c>
      <c r="UB14" s="198">
        <v>2</v>
      </c>
      <c r="UC14" s="205">
        <f t="shared" si="116"/>
        <v>6</v>
      </c>
      <c r="UD14" s="198">
        <f>MEDIAN(2,2,2,2,2,2,2,2)</f>
        <v>2</v>
      </c>
      <c r="UE14">
        <f t="shared" si="117"/>
        <v>6</v>
      </c>
      <c r="UG14" s="204">
        <v>11</v>
      </c>
      <c r="UH14" s="198">
        <v>1</v>
      </c>
      <c r="UI14" s="198">
        <f>MEDIAN(3,3,3,3,3,3,3,2,3)</f>
        <v>3</v>
      </c>
      <c r="UJ14" s="198">
        <v>1</v>
      </c>
      <c r="UK14" s="198">
        <v>0</v>
      </c>
      <c r="UL14" s="205">
        <f t="shared" si="118"/>
        <v>5</v>
      </c>
      <c r="UN14" s="204">
        <v>11</v>
      </c>
      <c r="UO14" s="198">
        <v>0</v>
      </c>
      <c r="UP14" s="198">
        <f>AVERAGE(2,2,3,3,3,2,3,2,3,3,3,3,3,2,3)</f>
        <v>2.6666666666666665</v>
      </c>
      <c r="UQ14" s="198">
        <v>3</v>
      </c>
      <c r="UR14" s="198">
        <v>3</v>
      </c>
      <c r="US14" s="205">
        <f t="shared" si="119"/>
        <v>8.6666666666666661</v>
      </c>
      <c r="UT14" s="198">
        <f>MEDIAN(2,2,3,3,3,2,3,2,3,3,3,3,3,2,3)</f>
        <v>3</v>
      </c>
      <c r="UU14">
        <f t="shared" si="120"/>
        <v>9</v>
      </c>
      <c r="UW14" s="204">
        <v>11</v>
      </c>
      <c r="UX14" s="198">
        <v>1</v>
      </c>
      <c r="UY14" s="198">
        <f>+AVERAGE(3,3,3,3,3)</f>
        <v>3</v>
      </c>
      <c r="UZ14" s="198">
        <v>3</v>
      </c>
      <c r="VA14" s="198">
        <v>2</v>
      </c>
      <c r="VB14" s="205">
        <f t="shared" si="121"/>
        <v>9</v>
      </c>
      <c r="VC14" s="198">
        <f>+MEDIAN(3,3,3,3,3)</f>
        <v>3</v>
      </c>
      <c r="VD14">
        <f t="shared" si="122"/>
        <v>9</v>
      </c>
      <c r="VF14" s="204">
        <v>11</v>
      </c>
      <c r="VG14" s="198">
        <v>2</v>
      </c>
      <c r="VH14" s="198">
        <f>AVERAGE(3,3,2,3,3)</f>
        <v>2.8</v>
      </c>
      <c r="VI14" s="198">
        <v>3</v>
      </c>
      <c r="VJ14" s="198">
        <v>1</v>
      </c>
      <c r="VK14" s="205">
        <f t="shared" si="123"/>
        <v>8.8000000000000007</v>
      </c>
      <c r="VL14" s="198">
        <f>MEDIAN(3,3,2,3,3)</f>
        <v>3</v>
      </c>
      <c r="VM14">
        <f t="shared" si="124"/>
        <v>9</v>
      </c>
      <c r="VO14" s="204">
        <v>11</v>
      </c>
      <c r="VP14" s="198">
        <v>0</v>
      </c>
      <c r="VQ14" s="198">
        <f>AVERAGE(3,2,3)</f>
        <v>2.6666666666666665</v>
      </c>
      <c r="VR14" s="198">
        <v>1</v>
      </c>
      <c r="VS14" s="198">
        <v>1</v>
      </c>
      <c r="VT14" s="205">
        <f t="shared" si="125"/>
        <v>4.6666666666666661</v>
      </c>
      <c r="VU14" s="198">
        <f>MEDIAN(3,2,3)</f>
        <v>3</v>
      </c>
      <c r="VV14">
        <f t="shared" si="126"/>
        <v>5</v>
      </c>
    </row>
    <row r="15" spans="2:594" ht="15" thickBot="1" x14ac:dyDescent="0.4">
      <c r="B15" s="165">
        <v>12</v>
      </c>
      <c r="C15" s="32">
        <v>1</v>
      </c>
      <c r="D15" s="32">
        <f>AVERAGE(2,2,3,3,2,2,2)</f>
        <v>2.2857142857142856</v>
      </c>
      <c r="E15" s="32">
        <v>3</v>
      </c>
      <c r="F15" s="32">
        <v>2</v>
      </c>
      <c r="G15" s="33">
        <f t="shared" si="0"/>
        <v>8.2857142857142847</v>
      </c>
      <c r="H15" s="32">
        <f>MEDIAN(2,2,3,3,2,2,2)</f>
        <v>2</v>
      </c>
      <c r="I15" s="75">
        <f t="shared" si="1"/>
        <v>8</v>
      </c>
      <c r="K15" s="165">
        <v>12</v>
      </c>
      <c r="L15" s="32">
        <v>0</v>
      </c>
      <c r="M15" s="32" t="s">
        <v>31</v>
      </c>
      <c r="N15" s="32">
        <v>3</v>
      </c>
      <c r="O15" s="32">
        <v>2</v>
      </c>
      <c r="P15" s="33">
        <f t="shared" si="2"/>
        <v>5</v>
      </c>
      <c r="Q15" s="32" t="s">
        <v>31</v>
      </c>
      <c r="R15" s="75">
        <f t="shared" si="3"/>
        <v>5</v>
      </c>
      <c r="S15">
        <f>R15*(4/3)</f>
        <v>6.6666666666666661</v>
      </c>
      <c r="T15" s="165">
        <v>12</v>
      </c>
      <c r="U15" s="32">
        <v>1</v>
      </c>
      <c r="V15" s="32">
        <f>AVERAGE(3,2,2,3)</f>
        <v>2.5</v>
      </c>
      <c r="W15" s="32">
        <v>3</v>
      </c>
      <c r="X15" s="32">
        <v>1</v>
      </c>
      <c r="Y15" s="32">
        <f>MEDIAN(3,2,2,3)</f>
        <v>2.5</v>
      </c>
      <c r="Z15" s="18">
        <f t="shared" si="4"/>
        <v>7.5</v>
      </c>
      <c r="AB15" s="165">
        <v>12</v>
      </c>
      <c r="AC15" s="32">
        <v>1</v>
      </c>
      <c r="AD15" s="32">
        <f>AVERAGE(3,2,3,2,2,3,3,3)</f>
        <v>2.625</v>
      </c>
      <c r="AE15" s="32">
        <v>2</v>
      </c>
      <c r="AF15" s="32">
        <v>3</v>
      </c>
      <c r="AG15" s="32">
        <f>MEDIAN(3,2,3,2,2,3,3,3)</f>
        <v>3</v>
      </c>
      <c r="AH15" s="18">
        <f t="shared" si="5"/>
        <v>9</v>
      </c>
      <c r="AJ15" s="165">
        <v>12</v>
      </c>
      <c r="AK15" s="32">
        <v>1</v>
      </c>
      <c r="AL15" s="32">
        <f>AVERAGE(3,2,3,2,2,3,2,3,3,2,2)</f>
        <v>2.4545454545454546</v>
      </c>
      <c r="AM15" s="32">
        <v>3</v>
      </c>
      <c r="AN15" s="32">
        <v>2</v>
      </c>
      <c r="AO15" s="33">
        <f t="shared" si="6"/>
        <v>8.454545454545455</v>
      </c>
      <c r="AP15" s="32">
        <f>MEDIAN(3,2,3,2,2,3,2,3,3,2,2)</f>
        <v>2</v>
      </c>
      <c r="AQ15" s="75">
        <f t="shared" si="7"/>
        <v>8</v>
      </c>
      <c r="AS15" s="165">
        <v>12</v>
      </c>
      <c r="AT15" s="32">
        <v>1</v>
      </c>
      <c r="AU15" s="32">
        <f>AVERAGE(2,2,2,3,3)</f>
        <v>2.4</v>
      </c>
      <c r="AV15" s="32">
        <v>2</v>
      </c>
      <c r="AW15" s="32">
        <v>2</v>
      </c>
      <c r="AX15" s="33">
        <f t="shared" si="8"/>
        <v>7.4</v>
      </c>
      <c r="AY15" s="32">
        <f>MEDIAN(2,2,2,3,3)</f>
        <v>2</v>
      </c>
      <c r="AZ15" s="75">
        <f t="shared" si="9"/>
        <v>7</v>
      </c>
      <c r="BB15" s="165">
        <v>12</v>
      </c>
      <c r="BC15" s="32">
        <v>0</v>
      </c>
      <c r="BD15" s="32">
        <f>MEDIAN(2,3,3,2,2,3,3)</f>
        <v>3</v>
      </c>
      <c r="BE15" s="32" t="s">
        <v>31</v>
      </c>
      <c r="BF15" s="32">
        <v>2</v>
      </c>
      <c r="BG15" s="205">
        <f t="shared" ref="BG15:BG18" si="127">(SUM(BC15:BF15))*(4/3)</f>
        <v>6.6666666666666661</v>
      </c>
      <c r="BH15" s="32">
        <f>MEDIAN(2,3,3,2,2,3,3)</f>
        <v>3</v>
      </c>
      <c r="BI15" s="75">
        <f t="shared" si="11"/>
        <v>5</v>
      </c>
      <c r="BK15" s="165">
        <v>12</v>
      </c>
      <c r="BL15" s="32">
        <v>0</v>
      </c>
      <c r="BM15" s="32">
        <f>MEDIAN(2,1,1,2,3,2,2,2,1,1,2,2,2,2,2)</f>
        <v>2</v>
      </c>
      <c r="BN15" s="32">
        <v>1</v>
      </c>
      <c r="BO15" s="32">
        <v>1</v>
      </c>
      <c r="BP15" s="33">
        <f t="shared" si="12"/>
        <v>4</v>
      </c>
      <c r="BQ15" s="32">
        <f>MEDIAN(2,1,1,2,3,2,2,2,1,1,2,2,2,2,2)</f>
        <v>2</v>
      </c>
      <c r="BR15" s="75">
        <f t="shared" si="13"/>
        <v>4</v>
      </c>
      <c r="BT15" s="165">
        <v>12</v>
      </c>
      <c r="BU15" s="32">
        <v>0</v>
      </c>
      <c r="BV15" s="32">
        <f>MEDIAN(2,2,3,3,2)</f>
        <v>2</v>
      </c>
      <c r="BW15" s="32">
        <v>0</v>
      </c>
      <c r="BX15" s="32">
        <v>1</v>
      </c>
      <c r="BY15" s="33">
        <f t="shared" si="14"/>
        <v>3</v>
      </c>
      <c r="CB15" s="165">
        <v>12</v>
      </c>
      <c r="CC15" s="32">
        <v>0</v>
      </c>
      <c r="CD15" s="32">
        <f>MEDIAN(2,2,3,3,2,2,3,2,3,2,2)</f>
        <v>2</v>
      </c>
      <c r="CE15" s="32">
        <v>3</v>
      </c>
      <c r="CF15" s="32">
        <v>1</v>
      </c>
      <c r="CG15" s="33">
        <f t="shared" si="15"/>
        <v>6</v>
      </c>
      <c r="CJ15" s="165">
        <v>12</v>
      </c>
      <c r="CK15" s="32">
        <v>1</v>
      </c>
      <c r="CL15" s="32">
        <f>MEDIAN(3,2,2,2,2,2,3)</f>
        <v>2</v>
      </c>
      <c r="CM15" s="32">
        <v>3</v>
      </c>
      <c r="CN15" s="32">
        <v>1</v>
      </c>
      <c r="CO15" s="33">
        <f t="shared" si="16"/>
        <v>7</v>
      </c>
      <c r="CP15" s="32">
        <f>MEDIAN(3,2,2,2,2,2,3)</f>
        <v>2</v>
      </c>
      <c r="CQ15" s="75">
        <f t="shared" si="17"/>
        <v>7</v>
      </c>
      <c r="CS15" s="165">
        <v>12</v>
      </c>
      <c r="CT15" s="32">
        <v>2</v>
      </c>
      <c r="CU15" s="32">
        <f>MEDIAN(3,2,2,2,2)</f>
        <v>2</v>
      </c>
      <c r="CV15" s="32">
        <v>2</v>
      </c>
      <c r="CW15" s="32">
        <v>2</v>
      </c>
      <c r="CX15" s="33">
        <f t="shared" si="18"/>
        <v>8</v>
      </c>
      <c r="CY15" s="32">
        <f>MEDIAN(3,2,2,2,2)</f>
        <v>2</v>
      </c>
      <c r="CZ15" s="75">
        <f t="shared" si="19"/>
        <v>8</v>
      </c>
      <c r="DB15" s="165">
        <v>12</v>
      </c>
      <c r="DC15" s="32">
        <v>0</v>
      </c>
      <c r="DD15" s="32">
        <f>AVERAGE(2,1,2,2,2,2,1,2)</f>
        <v>1.75</v>
      </c>
      <c r="DE15" s="32">
        <v>3</v>
      </c>
      <c r="DF15" s="32">
        <v>1</v>
      </c>
      <c r="DG15" s="33">
        <f t="shared" si="20"/>
        <v>5.75</v>
      </c>
      <c r="DH15" s="32">
        <f>MEDIAN(2,1,2,2,2,2,1,2)</f>
        <v>2</v>
      </c>
      <c r="DI15" s="75">
        <f t="shared" si="21"/>
        <v>6</v>
      </c>
      <c r="DK15" s="165">
        <v>12</v>
      </c>
      <c r="DL15" s="32">
        <v>2</v>
      </c>
      <c r="DM15" s="32">
        <f>AVERAGE(3,2,2,2,3,2,2,2,3,2,2,2,2)</f>
        <v>2.2307692307692308</v>
      </c>
      <c r="DN15" s="32">
        <v>3</v>
      </c>
      <c r="DO15" s="32">
        <v>1</v>
      </c>
      <c r="DP15" s="33">
        <f t="shared" si="22"/>
        <v>8.2307692307692299</v>
      </c>
      <c r="DQ15" s="32">
        <f>MEDIAN(3,2,2,2,3,2,2,2,3,2,2,2,2)</f>
        <v>2</v>
      </c>
      <c r="DR15" s="75">
        <f t="shared" si="23"/>
        <v>8</v>
      </c>
      <c r="DT15" s="165">
        <v>12</v>
      </c>
      <c r="DU15" s="32">
        <v>1</v>
      </c>
      <c r="DV15" s="32">
        <f>AVERAGE(2,2,2,3,2)</f>
        <v>2.2000000000000002</v>
      </c>
      <c r="DW15" s="32">
        <v>1</v>
      </c>
      <c r="DX15" s="32">
        <v>0</v>
      </c>
      <c r="DY15" s="33">
        <f t="shared" si="24"/>
        <v>4.2</v>
      </c>
      <c r="DZ15" s="32">
        <f>MEDIAN(2,2,2,3,2)</f>
        <v>2</v>
      </c>
      <c r="EA15" s="75">
        <f t="shared" si="25"/>
        <v>4</v>
      </c>
      <c r="EC15" s="165">
        <v>12</v>
      </c>
      <c r="ED15" s="32">
        <v>1</v>
      </c>
      <c r="EE15" s="32">
        <f>AVERAGE(3,2,2)</f>
        <v>2.3333333333333335</v>
      </c>
      <c r="EF15" s="32">
        <v>2</v>
      </c>
      <c r="EG15" s="32">
        <v>1</v>
      </c>
      <c r="EH15" s="33">
        <f t="shared" si="26"/>
        <v>6.3333333333333339</v>
      </c>
      <c r="EI15" s="32">
        <f>MEDIAN(3,2,2)</f>
        <v>2</v>
      </c>
      <c r="EJ15" s="75">
        <f t="shared" si="27"/>
        <v>6</v>
      </c>
      <c r="EL15" s="165">
        <v>12</v>
      </c>
      <c r="EM15" s="32">
        <v>2</v>
      </c>
      <c r="EN15" s="32">
        <f>AVERAGE(2,2,3,2,2)</f>
        <v>2.2000000000000002</v>
      </c>
      <c r="EO15" s="32">
        <v>3</v>
      </c>
      <c r="EP15" s="32">
        <v>1</v>
      </c>
      <c r="EQ15" s="33">
        <f t="shared" si="28"/>
        <v>8.1999999999999993</v>
      </c>
      <c r="ER15" s="197">
        <f>MEDIAN(2,2,3,2,2)</f>
        <v>2</v>
      </c>
      <c r="ES15">
        <f t="shared" si="29"/>
        <v>8</v>
      </c>
      <c r="EU15" s="165">
        <v>12</v>
      </c>
      <c r="EV15" s="32">
        <v>1</v>
      </c>
      <c r="EW15" s="32">
        <f>AVERAGE(3,2,3,3,3,2,3,2)</f>
        <v>2.625</v>
      </c>
      <c r="EX15" s="32">
        <v>1</v>
      </c>
      <c r="EY15" s="32">
        <v>0</v>
      </c>
      <c r="EZ15" s="33">
        <f t="shared" si="30"/>
        <v>4.625</v>
      </c>
      <c r="FA15" s="197">
        <f>MEDIAN(3,2,3,3,3,2,3,2)</f>
        <v>3</v>
      </c>
      <c r="FB15">
        <f t="shared" si="31"/>
        <v>5</v>
      </c>
      <c r="FD15" s="165">
        <v>12</v>
      </c>
      <c r="FE15" s="32">
        <v>0</v>
      </c>
      <c r="FF15" s="32">
        <f>AVERAGE(3,3,3,3,3,3,3,3)</f>
        <v>3</v>
      </c>
      <c r="FG15" s="32">
        <v>1</v>
      </c>
      <c r="FH15" s="32">
        <v>0</v>
      </c>
      <c r="FI15" s="33">
        <f t="shared" si="32"/>
        <v>4</v>
      </c>
      <c r="FJ15" s="197">
        <f>MEDIAN(3,3,3,3,3,3,3,3)</f>
        <v>3</v>
      </c>
      <c r="FK15">
        <f t="shared" si="33"/>
        <v>4</v>
      </c>
      <c r="FM15" s="165">
        <v>12</v>
      </c>
      <c r="FN15" s="32">
        <v>1</v>
      </c>
      <c r="FO15" s="32">
        <f>AVERAGE(2,3,2,2,2,3,2,3)</f>
        <v>2.375</v>
      </c>
      <c r="FP15" s="32">
        <v>2</v>
      </c>
      <c r="FQ15" s="32">
        <v>1</v>
      </c>
      <c r="FR15" s="33">
        <f t="shared" si="34"/>
        <v>6.375</v>
      </c>
      <c r="FS15" s="197">
        <f>MEDIAN(2,3,2,2,2,3,2,3)</f>
        <v>2</v>
      </c>
      <c r="FT15">
        <f t="shared" si="35"/>
        <v>6</v>
      </c>
      <c r="FV15" s="165">
        <v>12</v>
      </c>
      <c r="FW15" s="32">
        <v>1</v>
      </c>
      <c r="FX15" s="32">
        <f>MEDIAN(2,2,3,3,2,2,3,2,2,2,3,3,3,3,3,2,3,2,2,3,2,3,2)</f>
        <v>2</v>
      </c>
      <c r="FY15" s="32">
        <v>3</v>
      </c>
      <c r="FZ15" s="32">
        <v>1</v>
      </c>
      <c r="GA15" s="33">
        <f t="shared" si="36"/>
        <v>7</v>
      </c>
      <c r="GB15" s="32">
        <f>MEDIAN(2,2,3,3,2,2,3,2,2,2,3,3,3,3,3,2,3,2,2,3,2,3,2)</f>
        <v>2</v>
      </c>
      <c r="GC15">
        <f t="shared" si="37"/>
        <v>7</v>
      </c>
      <c r="GE15" s="165">
        <v>12</v>
      </c>
      <c r="GF15" s="32">
        <v>0</v>
      </c>
      <c r="GG15" s="32">
        <f>MEDIAN(3,3,3,3,2,3,3)</f>
        <v>3</v>
      </c>
      <c r="GH15" s="32">
        <v>0</v>
      </c>
      <c r="GI15" s="32">
        <v>0</v>
      </c>
      <c r="GJ15" s="18">
        <f t="shared" si="38"/>
        <v>3</v>
      </c>
      <c r="GK15" s="32">
        <f>MEDIAN(3,3,3,3,2,3,3)</f>
        <v>3</v>
      </c>
      <c r="GL15">
        <f t="shared" si="39"/>
        <v>3</v>
      </c>
      <c r="GN15" s="165">
        <v>12</v>
      </c>
      <c r="GO15" s="32">
        <v>1</v>
      </c>
      <c r="GP15" s="32">
        <f>AVERAGE(3,3,3,2,3)</f>
        <v>2.8</v>
      </c>
      <c r="GQ15" s="32">
        <v>0</v>
      </c>
      <c r="GR15" s="32">
        <v>1</v>
      </c>
      <c r="GS15" s="33">
        <f t="shared" si="40"/>
        <v>4.8</v>
      </c>
      <c r="GT15" s="196">
        <f>MEDIAN(3,3,3,2,3)</f>
        <v>3</v>
      </c>
      <c r="GU15" s="32">
        <f t="shared" si="41"/>
        <v>5</v>
      </c>
      <c r="GW15" s="165">
        <v>12</v>
      </c>
      <c r="GX15" s="32">
        <v>1</v>
      </c>
      <c r="GY15" s="32">
        <f>AVERAGE(2,3,3,3,3,2,2,2)</f>
        <v>2.5</v>
      </c>
      <c r="GZ15" s="32">
        <v>3</v>
      </c>
      <c r="HA15" s="32">
        <v>2</v>
      </c>
      <c r="HB15" s="33">
        <f t="shared" si="42"/>
        <v>8.5</v>
      </c>
      <c r="HC15" s="196">
        <f>MEDIAN(2,3,3,3,3,2,2,2)</f>
        <v>2.5</v>
      </c>
      <c r="HD15">
        <f t="shared" si="43"/>
        <v>8.5</v>
      </c>
      <c r="HF15" s="165">
        <v>12</v>
      </c>
      <c r="HG15" s="32">
        <v>0</v>
      </c>
      <c r="HH15" s="32">
        <f>AVERAGE(3,3,3)</f>
        <v>3</v>
      </c>
      <c r="HI15" s="32">
        <v>0</v>
      </c>
      <c r="HJ15" s="32">
        <v>1</v>
      </c>
      <c r="HK15" s="33">
        <f t="shared" si="44"/>
        <v>4</v>
      </c>
      <c r="HL15" s="32">
        <f>MEDIAN(3,3,3)</f>
        <v>3</v>
      </c>
      <c r="HM15">
        <f t="shared" si="45"/>
        <v>4</v>
      </c>
      <c r="HO15" s="165">
        <v>12</v>
      </c>
      <c r="HP15" s="32">
        <v>0</v>
      </c>
      <c r="HQ15" s="32">
        <f>AVERAGE(3,3,3,3,3,3,2,3)</f>
        <v>2.875</v>
      </c>
      <c r="HR15" s="32">
        <v>3</v>
      </c>
      <c r="HS15" s="32">
        <v>1</v>
      </c>
      <c r="HT15" s="33">
        <f t="shared" si="46"/>
        <v>6.875</v>
      </c>
      <c r="HU15" s="32">
        <f>MEDIAN(3,3,3,3,3,3,2,3)</f>
        <v>3</v>
      </c>
      <c r="HV15">
        <f t="shared" si="47"/>
        <v>7</v>
      </c>
      <c r="HX15" s="165">
        <v>12</v>
      </c>
      <c r="HY15" s="32">
        <v>0</v>
      </c>
      <c r="HZ15" s="32">
        <f>MEDIAN(3,3,3,3,3,2,3,3)</f>
        <v>3</v>
      </c>
      <c r="IA15" s="32">
        <v>3</v>
      </c>
      <c r="IB15" s="32">
        <v>1</v>
      </c>
      <c r="IC15" s="33">
        <f t="shared" si="48"/>
        <v>7</v>
      </c>
      <c r="ID15" s="32">
        <f>MEDIAN(3,3,3,3,3,2,3,3)</f>
        <v>3</v>
      </c>
      <c r="IE15">
        <f t="shared" si="49"/>
        <v>7</v>
      </c>
      <c r="IG15" s="165">
        <v>12</v>
      </c>
      <c r="IH15" s="32">
        <v>1</v>
      </c>
      <c r="II15" s="32">
        <f>MEDIAN(3,3,3,3,3)</f>
        <v>3</v>
      </c>
      <c r="IJ15" s="32">
        <v>2</v>
      </c>
      <c r="IK15" s="32">
        <v>1</v>
      </c>
      <c r="IL15" s="33">
        <f t="shared" si="50"/>
        <v>7</v>
      </c>
      <c r="IM15" s="32">
        <f>MEDIAN(3,3,3,3,3)</f>
        <v>3</v>
      </c>
      <c r="IN15">
        <f t="shared" si="51"/>
        <v>7</v>
      </c>
      <c r="IP15" s="165">
        <v>12</v>
      </c>
      <c r="IQ15" s="32">
        <v>2</v>
      </c>
      <c r="IR15" s="32">
        <f>AVERAGE(3,2,3,3)</f>
        <v>2.75</v>
      </c>
      <c r="IS15" s="32">
        <v>2</v>
      </c>
      <c r="IT15" s="32">
        <v>2</v>
      </c>
      <c r="IU15" s="33">
        <f t="shared" si="52"/>
        <v>8.75</v>
      </c>
      <c r="IV15" s="32">
        <f>MEDIAN(3,2,3,3)</f>
        <v>3</v>
      </c>
      <c r="IW15">
        <f t="shared" si="53"/>
        <v>9</v>
      </c>
      <c r="IY15" s="165">
        <v>12</v>
      </c>
      <c r="IZ15" s="32">
        <v>1</v>
      </c>
      <c r="JA15" s="32">
        <f>AVERAGE(3,3,3,3,2,3,3,3,3)</f>
        <v>2.8888888888888888</v>
      </c>
      <c r="JB15" s="32">
        <v>3</v>
      </c>
      <c r="JC15" s="32">
        <v>2</v>
      </c>
      <c r="JD15" s="33">
        <f t="shared" si="54"/>
        <v>8.8888888888888893</v>
      </c>
      <c r="JE15" s="32">
        <f>MEDIAN(3,3,3,3,2,3,3,3,3)</f>
        <v>3</v>
      </c>
      <c r="JF15">
        <f t="shared" si="55"/>
        <v>9</v>
      </c>
      <c r="JH15" s="165">
        <v>12</v>
      </c>
      <c r="JI15" s="32">
        <v>0</v>
      </c>
      <c r="JJ15" s="32">
        <f>MEDIAN(3,2,3,2,2,3,2,3,3,3,3,3)</f>
        <v>3</v>
      </c>
      <c r="JK15" s="32">
        <v>3</v>
      </c>
      <c r="JL15" s="32">
        <v>1</v>
      </c>
      <c r="JM15" s="33">
        <f t="shared" si="56"/>
        <v>7</v>
      </c>
      <c r="JN15" s="32">
        <f>MEDIAN(3,2,3,2,2,3,2,3,3,3,3,3)</f>
        <v>3</v>
      </c>
      <c r="JO15">
        <f t="shared" si="57"/>
        <v>7</v>
      </c>
      <c r="JQ15" s="165">
        <v>12</v>
      </c>
      <c r="JR15" s="32">
        <v>0</v>
      </c>
      <c r="JS15" s="32">
        <f>MEDIAN(2,2,3,3,3,2,3,3,2,3,3,3,3)</f>
        <v>3</v>
      </c>
      <c r="JT15" s="32">
        <v>0</v>
      </c>
      <c r="JU15" s="32">
        <v>1</v>
      </c>
      <c r="JV15" s="33">
        <f t="shared" si="58"/>
        <v>4</v>
      </c>
      <c r="JW15" s="32">
        <f>MEDIAN(2,2,3,3,3,2,3,3,2,3,3,3,3)</f>
        <v>3</v>
      </c>
      <c r="JX15">
        <f t="shared" si="59"/>
        <v>4</v>
      </c>
      <c r="JZ15" s="165">
        <v>12</v>
      </c>
      <c r="KA15" s="32">
        <v>0</v>
      </c>
      <c r="KB15" s="32">
        <f>AVERAGE(2,3,3,3,3,3)</f>
        <v>2.8333333333333335</v>
      </c>
      <c r="KC15" s="32">
        <v>2</v>
      </c>
      <c r="KD15" s="32">
        <v>3</v>
      </c>
      <c r="KE15" s="33">
        <f t="shared" si="60"/>
        <v>7.8333333333333339</v>
      </c>
      <c r="KF15" s="32">
        <f>MEDIAN(2,3,3,3,3,3)</f>
        <v>3</v>
      </c>
      <c r="KG15">
        <f t="shared" si="61"/>
        <v>8</v>
      </c>
      <c r="KI15" s="165">
        <v>12</v>
      </c>
      <c r="KJ15" s="32">
        <v>1</v>
      </c>
      <c r="KK15" s="32">
        <f>AVERAGE(2,3,3,2,3,3,3,3,3,3,3,3,3,3,3,3,2,2,3,3,3)</f>
        <v>2.8095238095238093</v>
      </c>
      <c r="KL15" s="32">
        <v>2</v>
      </c>
      <c r="KM15" s="32">
        <v>1</v>
      </c>
      <c r="KN15" s="33">
        <f t="shared" si="62"/>
        <v>6.8095238095238093</v>
      </c>
      <c r="KO15" s="32">
        <f>MEDIAN(2,3,3,2,3,3,3,3,3,3,3,3,3,3,3,3,2,2,3,3,3)</f>
        <v>3</v>
      </c>
      <c r="KP15">
        <f t="shared" si="63"/>
        <v>7</v>
      </c>
      <c r="KR15" s="165">
        <v>12</v>
      </c>
      <c r="KS15" s="32">
        <v>2</v>
      </c>
      <c r="KT15" s="32">
        <f>AVERAGE(3,3,2,2,3,3,3,3,3,3,2,3)</f>
        <v>2.75</v>
      </c>
      <c r="KU15" s="32">
        <v>3</v>
      </c>
      <c r="KV15" s="32">
        <v>3</v>
      </c>
      <c r="KW15" s="33">
        <f t="shared" si="64"/>
        <v>10.75</v>
      </c>
      <c r="KX15" s="32">
        <f>MEDIAN(3,3,2,2,3,3,3,3,3,3,2,3)</f>
        <v>3</v>
      </c>
      <c r="KY15">
        <f t="shared" si="65"/>
        <v>11</v>
      </c>
      <c r="LA15" s="165">
        <v>12</v>
      </c>
      <c r="LB15" s="32">
        <v>1</v>
      </c>
      <c r="LC15" s="32">
        <f>AVERAGE(3,2,3,3,2,3,2,3,3,3,3,3,3)</f>
        <v>2.7692307692307692</v>
      </c>
      <c r="LD15" s="32">
        <v>1</v>
      </c>
      <c r="LE15" s="32">
        <v>2</v>
      </c>
      <c r="LF15" s="33">
        <f t="shared" si="66"/>
        <v>6.7692307692307692</v>
      </c>
      <c r="LG15" s="32">
        <f>MEDIAN(3,2,3,3,2,3,2,3,3,3,3,3,3)</f>
        <v>3</v>
      </c>
      <c r="LH15">
        <f t="shared" si="67"/>
        <v>7</v>
      </c>
      <c r="LK15" s="165">
        <v>12</v>
      </c>
      <c r="LL15" s="32">
        <v>1</v>
      </c>
      <c r="LM15" s="32">
        <f>AVERAGE(3,3,3,3,3,3,3,3,2,3,3,3)</f>
        <v>2.9166666666666665</v>
      </c>
      <c r="LN15" s="32">
        <v>3</v>
      </c>
      <c r="LO15" s="32">
        <v>1</v>
      </c>
      <c r="LP15" s="33">
        <f t="shared" si="68"/>
        <v>7.9166666666666661</v>
      </c>
      <c r="LQ15" s="32">
        <f>MEDIAN(3,3,3,3,3,3,3,3,2,3,3,3)</f>
        <v>3</v>
      </c>
      <c r="LR15">
        <f t="shared" si="69"/>
        <v>8</v>
      </c>
      <c r="LT15" s="165">
        <v>12</v>
      </c>
      <c r="LU15" s="32">
        <v>1</v>
      </c>
      <c r="LV15" s="32">
        <f>AVERAGE(3,3,3,2)</f>
        <v>2.75</v>
      </c>
      <c r="LW15" s="32">
        <v>2</v>
      </c>
      <c r="LX15" s="32">
        <v>0</v>
      </c>
      <c r="LY15" s="33">
        <f t="shared" si="70"/>
        <v>5.75</v>
      </c>
      <c r="LZ15" s="32">
        <f>MEDIAN(3,3,3,2)</f>
        <v>3</v>
      </c>
      <c r="MA15">
        <f t="shared" si="71"/>
        <v>6</v>
      </c>
      <c r="MC15" s="165">
        <v>12</v>
      </c>
      <c r="MD15" s="32">
        <v>1</v>
      </c>
      <c r="ME15" s="32">
        <f>AVERAGE(2,3,2,2,2,2,3,2,3,2,2,3,2,2,3)</f>
        <v>2.3333333333333335</v>
      </c>
      <c r="MF15" s="32">
        <v>3</v>
      </c>
      <c r="MG15" s="32">
        <v>1</v>
      </c>
      <c r="MH15" s="33">
        <f t="shared" si="72"/>
        <v>7.3333333333333339</v>
      </c>
      <c r="MI15" s="32">
        <f>MEDIAN(2,3,2,2,2,2,3,2,3,2,2,3,2,2,3)</f>
        <v>2</v>
      </c>
      <c r="MJ15">
        <f t="shared" si="73"/>
        <v>7</v>
      </c>
      <c r="ML15" s="165">
        <v>12</v>
      </c>
      <c r="MM15" s="32">
        <v>0</v>
      </c>
      <c r="MN15" s="32">
        <f>AVERAGE(3,3,3,3,3,3,2,3,3,3,3,2,3,3,3,3,3,3)</f>
        <v>2.8888888888888888</v>
      </c>
      <c r="MO15" s="32">
        <v>2</v>
      </c>
      <c r="MP15" s="32">
        <v>1</v>
      </c>
      <c r="MQ15" s="33">
        <f t="shared" si="74"/>
        <v>5.8888888888888893</v>
      </c>
      <c r="MR15" s="32">
        <f>MEDIAN(3,3,3,3,3,3,2,3,3,3,3,2,3,3,3,3,3,3)</f>
        <v>3</v>
      </c>
      <c r="MS15">
        <f t="shared" si="75"/>
        <v>6</v>
      </c>
      <c r="MU15" s="165">
        <v>12</v>
      </c>
      <c r="MV15" s="32">
        <v>3</v>
      </c>
      <c r="MW15" s="32">
        <f>MEDIAN(3,3,3,2,3,2,3,2,3)</f>
        <v>3</v>
      </c>
      <c r="MX15" s="32">
        <v>2</v>
      </c>
      <c r="MY15" s="32">
        <v>2</v>
      </c>
      <c r="MZ15" s="33">
        <f t="shared" si="76"/>
        <v>10</v>
      </c>
      <c r="NA15" s="32">
        <f>MEDIAN(3,3,3,2,3,2,3,2,3)</f>
        <v>3</v>
      </c>
      <c r="NB15">
        <f t="shared" si="77"/>
        <v>10</v>
      </c>
      <c r="ND15" s="165">
        <v>12</v>
      </c>
      <c r="NE15" s="32">
        <v>1</v>
      </c>
      <c r="NF15" s="32">
        <f>MEDIAN(3,3,3,3,3,3,3,3)</f>
        <v>3</v>
      </c>
      <c r="NG15" s="32">
        <v>3</v>
      </c>
      <c r="NH15" s="32">
        <v>1</v>
      </c>
      <c r="NI15" s="33">
        <f t="shared" si="78"/>
        <v>8</v>
      </c>
      <c r="NJ15" s="32">
        <f>MEDIAN(3,3,3,3,3,3,3,3)</f>
        <v>3</v>
      </c>
      <c r="NK15">
        <f t="shared" si="79"/>
        <v>8</v>
      </c>
      <c r="NM15" s="165">
        <v>12</v>
      </c>
      <c r="NN15" s="32">
        <v>2</v>
      </c>
      <c r="NO15" s="32">
        <f>AVERAGE(3,3,3,3,3,2)</f>
        <v>2.8333333333333335</v>
      </c>
      <c r="NP15" s="32">
        <v>3</v>
      </c>
      <c r="NQ15" s="32">
        <v>3</v>
      </c>
      <c r="NR15" s="33">
        <f t="shared" si="80"/>
        <v>10.833333333333334</v>
      </c>
      <c r="NS15" s="32">
        <f>MEDIAN(3,3,3,3,3,2)</f>
        <v>3</v>
      </c>
      <c r="NT15">
        <f t="shared" si="81"/>
        <v>11</v>
      </c>
      <c r="NV15" s="165">
        <v>12</v>
      </c>
      <c r="NW15" s="32">
        <v>1</v>
      </c>
      <c r="NX15" s="32">
        <f>AVERAGE(3,3,3,3,3,3,3,3,3,3,3,3,3,3,3)</f>
        <v>3</v>
      </c>
      <c r="NY15" s="32">
        <v>3</v>
      </c>
      <c r="NZ15" s="32">
        <v>1</v>
      </c>
      <c r="OA15" s="33">
        <f t="shared" si="82"/>
        <v>8</v>
      </c>
      <c r="OB15" s="32">
        <f>MEDIAN(3,3,3,3,3,3,3,3,3,3,3,3,3,3,3)</f>
        <v>3</v>
      </c>
      <c r="OC15">
        <f t="shared" si="83"/>
        <v>8</v>
      </c>
      <c r="OE15" s="165">
        <v>12</v>
      </c>
      <c r="OF15" s="32">
        <v>1</v>
      </c>
      <c r="OG15" s="32">
        <f>MEDIAN(3,2,3,3,3,3)</f>
        <v>3</v>
      </c>
      <c r="OH15" s="32">
        <v>1</v>
      </c>
      <c r="OI15" s="32">
        <v>1</v>
      </c>
      <c r="OJ15" s="33">
        <f t="shared" si="84"/>
        <v>6</v>
      </c>
      <c r="OK15" s="32">
        <f>MEDIAN(3,2,3,3,3,3)</f>
        <v>3</v>
      </c>
      <c r="OL15">
        <f t="shared" si="85"/>
        <v>6</v>
      </c>
      <c r="ON15" s="165">
        <v>12</v>
      </c>
      <c r="OO15" s="32">
        <v>2</v>
      </c>
      <c r="OP15" s="32">
        <f>MEDIAN(3,3,3,3,3,3,3,3,3)</f>
        <v>3</v>
      </c>
      <c r="OQ15" s="32">
        <v>2</v>
      </c>
      <c r="OR15" s="32">
        <v>1</v>
      </c>
      <c r="OS15" s="33">
        <f t="shared" si="86"/>
        <v>8</v>
      </c>
      <c r="OT15" s="32">
        <f>MEDIAN(3,3,3,3,3,3,3,3,3)</f>
        <v>3</v>
      </c>
      <c r="OU15">
        <f t="shared" si="87"/>
        <v>8</v>
      </c>
      <c r="OW15" s="165">
        <v>12</v>
      </c>
      <c r="OX15" s="32">
        <v>0</v>
      </c>
      <c r="OY15" s="32">
        <v>2</v>
      </c>
      <c r="OZ15" s="32">
        <v>2</v>
      </c>
      <c r="PA15" s="32">
        <v>1</v>
      </c>
      <c r="PB15" s="33">
        <f t="shared" si="88"/>
        <v>5</v>
      </c>
      <c r="PC15" s="32">
        <v>2</v>
      </c>
      <c r="PD15">
        <f t="shared" si="89"/>
        <v>5</v>
      </c>
      <c r="PF15" s="165">
        <v>12</v>
      </c>
      <c r="PG15" s="32">
        <v>1</v>
      </c>
      <c r="PH15" s="32">
        <f>AVERAGE(2,3)</f>
        <v>2.5</v>
      </c>
      <c r="PI15" s="32">
        <v>1</v>
      </c>
      <c r="PJ15" s="32">
        <v>0</v>
      </c>
      <c r="PK15" s="33">
        <f t="shared" si="90"/>
        <v>4.5</v>
      </c>
      <c r="PL15" s="32">
        <f>MEDIAN(2,3)</f>
        <v>2.5</v>
      </c>
      <c r="PM15">
        <f t="shared" si="91"/>
        <v>4.5</v>
      </c>
      <c r="PO15" s="165">
        <v>12</v>
      </c>
      <c r="PP15" s="32">
        <v>0</v>
      </c>
      <c r="PQ15" s="32">
        <f>MEDIAN(2,3,3,1,0,2,2,2,2,2,1,1,1,1,1,2,2)</f>
        <v>2</v>
      </c>
      <c r="PR15" s="32">
        <v>2</v>
      </c>
      <c r="PS15" s="32">
        <v>0</v>
      </c>
      <c r="PT15" s="33">
        <f t="shared" si="92"/>
        <v>4</v>
      </c>
      <c r="PV15" s="165">
        <v>12</v>
      </c>
      <c r="PW15" s="32">
        <v>1</v>
      </c>
      <c r="PX15" s="32">
        <f>MEDIAN(3,3,3,3,3,2,3,2)</f>
        <v>3</v>
      </c>
      <c r="PY15" s="32">
        <v>1</v>
      </c>
      <c r="PZ15" s="32">
        <v>1</v>
      </c>
      <c r="QA15" s="33">
        <f t="shared" si="93"/>
        <v>6</v>
      </c>
      <c r="QB15" s="32">
        <f>MEDIAN(3,3,3,3,3,2,3,2)</f>
        <v>3</v>
      </c>
      <c r="QC15">
        <f t="shared" si="94"/>
        <v>6</v>
      </c>
      <c r="QE15" s="165">
        <v>12</v>
      </c>
      <c r="QF15" s="32">
        <v>0</v>
      </c>
      <c r="QG15" s="32">
        <f>MEDIAN(3,3,3,3,2,3,3,2,2,3)</f>
        <v>3</v>
      </c>
      <c r="QH15" s="32">
        <v>1</v>
      </c>
      <c r="QI15" s="32">
        <v>0</v>
      </c>
      <c r="QJ15" s="33">
        <f t="shared" si="95"/>
        <v>4</v>
      </c>
      <c r="QK15" s="32">
        <f>MEDIAN(3,3,3,3,2,3,3,2,2,3)</f>
        <v>3</v>
      </c>
      <c r="QL15">
        <f t="shared" si="96"/>
        <v>4</v>
      </c>
      <c r="QN15" s="165">
        <v>12</v>
      </c>
      <c r="QO15" s="32">
        <v>2</v>
      </c>
      <c r="QP15" s="32">
        <f>MEDIAN(3,3,3,3,3,3,1,3,2,2,3,3,3,3,1)</f>
        <v>3</v>
      </c>
      <c r="QQ15" s="32">
        <v>3</v>
      </c>
      <c r="QR15" s="32">
        <v>2</v>
      </c>
      <c r="QS15" s="33">
        <f t="shared" si="97"/>
        <v>10</v>
      </c>
      <c r="QT15" s="32">
        <f>MEDIAN(3,3,3,3,3,3,1,3,2,2,3,3,3,3,1)</f>
        <v>3</v>
      </c>
      <c r="QU15">
        <f t="shared" si="98"/>
        <v>10</v>
      </c>
      <c r="QW15" s="165">
        <v>12</v>
      </c>
      <c r="QX15" s="32">
        <v>0</v>
      </c>
      <c r="QY15" s="32">
        <f>AVERAGE(3,3,2,2,3,3,3,3,3,3,3,2,3,2,3)</f>
        <v>2.7333333333333334</v>
      </c>
      <c r="QZ15" s="32">
        <v>3</v>
      </c>
      <c r="RA15" s="32">
        <v>1</v>
      </c>
      <c r="RB15" s="33">
        <f t="shared" si="99"/>
        <v>6.7333333333333334</v>
      </c>
      <c r="RC15" s="32">
        <f>MEDIAN(3,3,2,2,3,3,3,3,3,3,3,2,3,2,3)</f>
        <v>3</v>
      </c>
      <c r="RD15">
        <f t="shared" si="100"/>
        <v>7</v>
      </c>
      <c r="RF15" s="165">
        <v>12</v>
      </c>
      <c r="RG15" s="32">
        <v>2</v>
      </c>
      <c r="RH15" s="32">
        <f>AVERAGE(3,3,3,3,3)</f>
        <v>3</v>
      </c>
      <c r="RI15" s="32">
        <v>1</v>
      </c>
      <c r="RJ15" s="32">
        <v>0</v>
      </c>
      <c r="RK15" s="33">
        <f t="shared" si="101"/>
        <v>6</v>
      </c>
      <c r="RL15" s="32">
        <f>MEDIAN(3,3,3,3,3)</f>
        <v>3</v>
      </c>
      <c r="RM15">
        <f t="shared" si="102"/>
        <v>6</v>
      </c>
      <c r="RO15" s="165">
        <v>12</v>
      </c>
      <c r="RP15" s="32">
        <v>1</v>
      </c>
      <c r="RQ15" s="32">
        <f>AVERAGE(3,3,3,3,3,3,3,3)</f>
        <v>3</v>
      </c>
      <c r="RR15" s="32">
        <v>3</v>
      </c>
      <c r="RS15" s="32">
        <v>2</v>
      </c>
      <c r="RT15" s="33">
        <f t="shared" si="103"/>
        <v>9</v>
      </c>
      <c r="RU15" s="32">
        <f>MEDIAN(3,3,3,3,3,3,3,3)</f>
        <v>3</v>
      </c>
      <c r="RV15">
        <f t="shared" si="104"/>
        <v>9</v>
      </c>
      <c r="RX15" s="165">
        <v>12</v>
      </c>
      <c r="RY15" s="32">
        <v>1</v>
      </c>
      <c r="RZ15" s="32">
        <f>AVERAGE(3,3,2,3,3,3,2,2,3,3)</f>
        <v>2.7</v>
      </c>
      <c r="SA15" s="32">
        <v>3</v>
      </c>
      <c r="SB15" s="32">
        <v>2</v>
      </c>
      <c r="SC15" s="33">
        <f t="shared" si="105"/>
        <v>8.6999999999999993</v>
      </c>
      <c r="SD15" s="32">
        <f>MEDIAN(3,3,2,3,3,3,2,2,3,3)</f>
        <v>3</v>
      </c>
      <c r="SE15">
        <f t="shared" si="106"/>
        <v>9</v>
      </c>
      <c r="SG15" s="165">
        <v>12</v>
      </c>
      <c r="SH15" s="32">
        <v>2</v>
      </c>
      <c r="SI15" s="32">
        <f>MEDIAN(3,3,3,3,2,2,3)</f>
        <v>3</v>
      </c>
      <c r="SJ15" s="32">
        <v>3</v>
      </c>
      <c r="SK15" s="32">
        <v>2</v>
      </c>
      <c r="SL15" s="33">
        <f t="shared" si="107"/>
        <v>10</v>
      </c>
      <c r="SM15" s="32">
        <f>MEDIAN(3,3,3,3,2,2,3)</f>
        <v>3</v>
      </c>
      <c r="SN15">
        <f t="shared" si="108"/>
        <v>10</v>
      </c>
      <c r="SP15" s="165">
        <v>12</v>
      </c>
      <c r="SQ15" s="32">
        <v>1</v>
      </c>
      <c r="SR15" s="32">
        <f>MEDIAN(3,3,2,2)</f>
        <v>2.5</v>
      </c>
      <c r="SS15" s="32">
        <v>0</v>
      </c>
      <c r="ST15" s="32">
        <v>1</v>
      </c>
      <c r="SU15" s="33">
        <f t="shared" si="109"/>
        <v>4.5</v>
      </c>
      <c r="SV15" s="32">
        <f>MEDIAN(3,3,2,2)</f>
        <v>2.5</v>
      </c>
      <c r="SW15">
        <f t="shared" si="110"/>
        <v>4.5</v>
      </c>
      <c r="SY15" s="165">
        <v>12</v>
      </c>
      <c r="SZ15" s="32">
        <v>1</v>
      </c>
      <c r="TA15" s="32">
        <f>AVERAGE(3,3,2,2)</f>
        <v>2.5</v>
      </c>
      <c r="TB15" s="32">
        <v>1</v>
      </c>
      <c r="TC15" s="32">
        <v>1</v>
      </c>
      <c r="TD15" s="33">
        <f t="shared" si="111"/>
        <v>5.5</v>
      </c>
      <c r="TE15" s="32">
        <f>MEDIAN(3,3,2,2)</f>
        <v>2.5</v>
      </c>
      <c r="TF15">
        <f t="shared" si="112"/>
        <v>5.5</v>
      </c>
      <c r="TH15" s="165">
        <v>12</v>
      </c>
      <c r="TI15" s="32">
        <v>2</v>
      </c>
      <c r="TJ15" s="32">
        <f>MEDIAN(3,3,3,3,3,2,3,3,2,3,3,2)</f>
        <v>3</v>
      </c>
      <c r="TK15" s="32">
        <v>3</v>
      </c>
      <c r="TL15" s="32">
        <v>3</v>
      </c>
      <c r="TM15" s="33">
        <f t="shared" si="113"/>
        <v>11</v>
      </c>
      <c r="TN15" s="32">
        <f>MEDIAN(3,3,3,3,3,2,3,3,2,3,3,2)</f>
        <v>3</v>
      </c>
      <c r="TO15">
        <f t="shared" si="114"/>
        <v>11</v>
      </c>
      <c r="TQ15" s="165">
        <v>12</v>
      </c>
      <c r="TR15" s="32">
        <v>2</v>
      </c>
      <c r="TS15" s="32">
        <f>MEDIAN(3,3,2,3,3,3,2,2,2,2,3)</f>
        <v>3</v>
      </c>
      <c r="TT15" s="32">
        <v>3</v>
      </c>
      <c r="TU15" s="32">
        <v>2</v>
      </c>
      <c r="TV15" s="33">
        <f t="shared" si="115"/>
        <v>10</v>
      </c>
      <c r="TX15" s="165">
        <v>12</v>
      </c>
      <c r="TY15" s="32">
        <v>2</v>
      </c>
      <c r="TZ15" s="32">
        <f>MEDIAN(3,3,2,2,2,2,2,3,2,2,2,2)</f>
        <v>2</v>
      </c>
      <c r="UA15" s="32">
        <v>2</v>
      </c>
      <c r="UB15" s="32">
        <v>1</v>
      </c>
      <c r="UC15" s="33">
        <f t="shared" si="116"/>
        <v>7</v>
      </c>
      <c r="UD15" s="32">
        <f>MEDIAN(3,3,2,2,2,2,2,3,2,2,2,2)</f>
        <v>2</v>
      </c>
      <c r="UE15">
        <f t="shared" si="117"/>
        <v>7</v>
      </c>
      <c r="UG15" s="165">
        <v>12</v>
      </c>
      <c r="UH15" s="32">
        <v>1</v>
      </c>
      <c r="UI15" s="32">
        <f>MEDIAN(3,3,3,3,2,3,2,3)</f>
        <v>3</v>
      </c>
      <c r="UJ15" s="32">
        <v>1</v>
      </c>
      <c r="UK15" s="32">
        <v>0</v>
      </c>
      <c r="UL15" s="33">
        <f t="shared" si="118"/>
        <v>5</v>
      </c>
      <c r="UN15" s="165">
        <v>12</v>
      </c>
      <c r="UO15" s="32">
        <v>1</v>
      </c>
      <c r="UP15" s="32">
        <f>AVERAGE(2,2,2,3,3)</f>
        <v>2.4</v>
      </c>
      <c r="UQ15" s="32">
        <v>3</v>
      </c>
      <c r="UR15" s="32">
        <v>3</v>
      </c>
      <c r="US15" s="33">
        <f t="shared" si="119"/>
        <v>9.4</v>
      </c>
      <c r="UT15" s="32">
        <f>MEDIAN(2,2,2,3,3)</f>
        <v>2</v>
      </c>
      <c r="UU15">
        <f t="shared" si="120"/>
        <v>9</v>
      </c>
      <c r="UW15" s="165">
        <v>12</v>
      </c>
      <c r="UX15" s="32">
        <v>2</v>
      </c>
      <c r="UY15" s="32">
        <f>AVERAGE(3,3,2,3,3,3,3,3,3,3,3,3,3,3,2)</f>
        <v>2.8666666666666667</v>
      </c>
      <c r="UZ15" s="32">
        <v>3</v>
      </c>
      <c r="VA15" s="32">
        <v>2</v>
      </c>
      <c r="VB15" s="33">
        <f t="shared" si="121"/>
        <v>9.8666666666666671</v>
      </c>
      <c r="VC15" s="32">
        <f>MEDIAN(3,3,2,3,3,3,3,3,3,3,3,3,3,3,2)</f>
        <v>3</v>
      </c>
      <c r="VD15">
        <f t="shared" si="122"/>
        <v>10</v>
      </c>
      <c r="VF15" s="165">
        <v>12</v>
      </c>
      <c r="VG15" s="32">
        <v>2</v>
      </c>
      <c r="VH15" s="32">
        <f>AVERAGE(2,2,2,2,2,2)</f>
        <v>2</v>
      </c>
      <c r="VI15" s="32">
        <v>1</v>
      </c>
      <c r="VJ15" s="32">
        <v>2</v>
      </c>
      <c r="VK15" s="33">
        <f t="shared" si="123"/>
        <v>7</v>
      </c>
      <c r="VL15" s="32">
        <f>MEDIAN(2,2,2,2,2,2)</f>
        <v>2</v>
      </c>
      <c r="VM15">
        <f t="shared" si="124"/>
        <v>7</v>
      </c>
      <c r="VO15" s="165">
        <v>12</v>
      </c>
      <c r="VP15" s="32">
        <v>1</v>
      </c>
      <c r="VQ15" s="32">
        <f>AVERAGE(3,3,3,3,3,3)</f>
        <v>3</v>
      </c>
      <c r="VR15" s="32">
        <v>0</v>
      </c>
      <c r="VS15" s="32">
        <v>1</v>
      </c>
      <c r="VT15" s="33">
        <f t="shared" si="125"/>
        <v>5</v>
      </c>
      <c r="VU15" s="32">
        <f>MEDIAN(3,3,3,3,3,3)</f>
        <v>3</v>
      </c>
      <c r="VV15">
        <f t="shared" si="126"/>
        <v>5</v>
      </c>
    </row>
    <row r="16" spans="2:594" ht="15" thickBot="1" x14ac:dyDescent="0.4">
      <c r="B16" s="165">
        <v>13</v>
      </c>
      <c r="C16" s="32">
        <v>1</v>
      </c>
      <c r="D16" s="32">
        <f>AVERAGE(2,2,2,2,1)</f>
        <v>1.8</v>
      </c>
      <c r="E16" s="32">
        <v>2</v>
      </c>
      <c r="F16" s="32">
        <v>2</v>
      </c>
      <c r="G16" s="33">
        <f t="shared" si="0"/>
        <v>6.8</v>
      </c>
      <c r="H16" s="32">
        <f>MEDIAN(2,2,2,2,1)</f>
        <v>2</v>
      </c>
      <c r="I16" s="75">
        <f t="shared" si="1"/>
        <v>7</v>
      </c>
      <c r="K16" s="165">
        <v>13</v>
      </c>
      <c r="L16" s="32">
        <v>0</v>
      </c>
      <c r="M16" s="32">
        <f>AVERAGE(1,2,3,3,3,2)</f>
        <v>2.3333333333333335</v>
      </c>
      <c r="N16" s="32">
        <v>2</v>
      </c>
      <c r="O16" s="32">
        <v>2</v>
      </c>
      <c r="P16" s="33">
        <f t="shared" si="2"/>
        <v>6.3333333333333339</v>
      </c>
      <c r="Q16" s="32">
        <f>MEDIAN(1,2,3,3,3,2)</f>
        <v>2.5</v>
      </c>
      <c r="R16" s="75">
        <f t="shared" si="3"/>
        <v>6.5</v>
      </c>
      <c r="T16" s="165">
        <v>13</v>
      </c>
      <c r="U16" s="32">
        <v>2</v>
      </c>
      <c r="V16" s="32">
        <f>AVERAGE(3,3,3,3,3,3,3,3,3,3,3,3,3,3)</f>
        <v>3</v>
      </c>
      <c r="W16" s="32">
        <v>2</v>
      </c>
      <c r="X16" s="32">
        <v>2</v>
      </c>
      <c r="Y16" s="32">
        <f>MEDIAN(3,3,3,3,3,3,3,3,3,3,3,3,3,3)</f>
        <v>3</v>
      </c>
      <c r="Z16" s="18">
        <f t="shared" si="4"/>
        <v>9</v>
      </c>
      <c r="AB16" s="165">
        <v>13</v>
      </c>
      <c r="AC16" s="32">
        <v>1</v>
      </c>
      <c r="AD16" s="32">
        <f>AVERAGE(3,2,2,2,2,2)</f>
        <v>2.1666666666666665</v>
      </c>
      <c r="AE16" s="32">
        <v>3</v>
      </c>
      <c r="AF16" s="32">
        <v>2</v>
      </c>
      <c r="AG16" s="32">
        <f>MEDIAN(3,2,2,2,2,2)</f>
        <v>2</v>
      </c>
      <c r="AH16" s="18">
        <f t="shared" si="5"/>
        <v>8</v>
      </c>
      <c r="AJ16" s="165">
        <v>13</v>
      </c>
      <c r="AK16" s="32">
        <v>0</v>
      </c>
      <c r="AL16" s="32">
        <f>AVERAGE(2,3,3,3,3,3,1)</f>
        <v>2.5714285714285716</v>
      </c>
      <c r="AM16" s="32">
        <v>3</v>
      </c>
      <c r="AN16" s="32">
        <v>1</v>
      </c>
      <c r="AO16" s="33">
        <f t="shared" si="6"/>
        <v>6.5714285714285712</v>
      </c>
      <c r="AP16" s="32">
        <f>MEDIAN(2,3,3,3,3,3,1)</f>
        <v>3</v>
      </c>
      <c r="AQ16" s="75">
        <f t="shared" si="7"/>
        <v>7</v>
      </c>
      <c r="AS16" s="165">
        <v>13</v>
      </c>
      <c r="AT16" s="32">
        <v>2</v>
      </c>
      <c r="AU16" s="32">
        <f>AVERAGE(3,3,3,3,3,3,3,3)</f>
        <v>3</v>
      </c>
      <c r="AV16" s="32">
        <v>2</v>
      </c>
      <c r="AW16" s="32">
        <v>2</v>
      </c>
      <c r="AX16" s="33">
        <f t="shared" si="8"/>
        <v>9</v>
      </c>
      <c r="AY16" s="32">
        <f>MEDIAN(3,3,3,3,3,3,3,3)</f>
        <v>3</v>
      </c>
      <c r="AZ16" s="75">
        <f t="shared" si="9"/>
        <v>9</v>
      </c>
      <c r="BB16" s="165">
        <v>13</v>
      </c>
      <c r="BC16" s="32">
        <v>0</v>
      </c>
      <c r="BD16" s="32">
        <f>MEDIAN(2,2,2,3,2,2,2,2,2,1,3)</f>
        <v>2</v>
      </c>
      <c r="BE16" s="32" t="s">
        <v>31</v>
      </c>
      <c r="BF16" s="32">
        <v>2</v>
      </c>
      <c r="BG16" s="205">
        <f t="shared" si="127"/>
        <v>5.333333333333333</v>
      </c>
      <c r="BH16" s="32">
        <f>MEDIAN(2,2,2,3,2,2,2,2,2,1,3)</f>
        <v>2</v>
      </c>
      <c r="BI16" s="75">
        <f t="shared" si="11"/>
        <v>4</v>
      </c>
      <c r="BK16" s="165">
        <v>13</v>
      </c>
      <c r="BL16" s="32">
        <v>0</v>
      </c>
      <c r="BM16" s="32">
        <f>MEDIAN(1,2,3,2,2,1,2,2,2,2,2,2)</f>
        <v>2</v>
      </c>
      <c r="BN16" s="32">
        <v>1</v>
      </c>
      <c r="BO16" s="32">
        <v>0</v>
      </c>
      <c r="BP16" s="33">
        <f t="shared" si="12"/>
        <v>3</v>
      </c>
      <c r="BQ16" s="32">
        <f>MEDIAN(1,2,3,2,2,1,2,2,2,2,2,2)</f>
        <v>2</v>
      </c>
      <c r="BR16" s="75">
        <f t="shared" si="13"/>
        <v>3</v>
      </c>
      <c r="BT16" s="165">
        <v>13</v>
      </c>
      <c r="BU16" s="32">
        <v>0</v>
      </c>
      <c r="BV16" s="32">
        <f>MEDIAN(2,1,2,2,2,2)</f>
        <v>2</v>
      </c>
      <c r="BW16" s="32">
        <v>0</v>
      </c>
      <c r="BX16" s="32">
        <v>1</v>
      </c>
      <c r="BY16" s="33">
        <f t="shared" si="14"/>
        <v>3</v>
      </c>
      <c r="CB16" s="165">
        <v>13</v>
      </c>
      <c r="CC16" s="32">
        <v>0</v>
      </c>
      <c r="CD16" s="32">
        <f>MEDIAN(3,3,3,3,2,2,3,3,3,3,2,3,2)</f>
        <v>3</v>
      </c>
      <c r="CE16" s="32">
        <v>3</v>
      </c>
      <c r="CF16" s="32">
        <v>2</v>
      </c>
      <c r="CG16" s="33">
        <f t="shared" si="15"/>
        <v>8</v>
      </c>
      <c r="CJ16" s="165">
        <v>13</v>
      </c>
      <c r="CK16" s="32">
        <v>0</v>
      </c>
      <c r="CL16" s="32">
        <f>MEDIAN(3,3,3,2,2)</f>
        <v>3</v>
      </c>
      <c r="CM16" s="32">
        <v>2</v>
      </c>
      <c r="CN16" s="32">
        <v>2</v>
      </c>
      <c r="CO16" s="33">
        <f t="shared" si="16"/>
        <v>7</v>
      </c>
      <c r="CP16" s="32">
        <f>MEDIAN(3,3,3,2,2)</f>
        <v>3</v>
      </c>
      <c r="CQ16" s="75">
        <f t="shared" si="17"/>
        <v>7</v>
      </c>
      <c r="CS16" s="165">
        <v>13</v>
      </c>
      <c r="CT16" s="32">
        <v>2</v>
      </c>
      <c r="CU16" s="32">
        <f>MEDIAN(2,2,2,2,2,2,2,2,3,2,2,2)</f>
        <v>2</v>
      </c>
      <c r="CV16" s="32">
        <v>3</v>
      </c>
      <c r="CW16" s="32">
        <v>3</v>
      </c>
      <c r="CX16" s="33">
        <f t="shared" si="18"/>
        <v>10</v>
      </c>
      <c r="CY16" s="32">
        <f>MEDIAN(2,2,2,2,2,2,2,2,3,2,2,2)</f>
        <v>2</v>
      </c>
      <c r="CZ16" s="75">
        <f t="shared" si="19"/>
        <v>10</v>
      </c>
      <c r="DB16" s="165">
        <v>13</v>
      </c>
      <c r="DC16" s="32">
        <v>1</v>
      </c>
      <c r="DD16" s="32">
        <f>AVERAGE(3,2,2,2,2,3,2,2,3)</f>
        <v>2.3333333333333335</v>
      </c>
      <c r="DE16" s="32">
        <v>1</v>
      </c>
      <c r="DF16" s="32">
        <v>0</v>
      </c>
      <c r="DG16" s="33">
        <f t="shared" si="20"/>
        <v>4.3333333333333339</v>
      </c>
      <c r="DH16" s="32">
        <f>MEDIAN(3,2,2,2,2,3,2,2,3)</f>
        <v>2</v>
      </c>
      <c r="DI16" s="75">
        <f t="shared" si="21"/>
        <v>4</v>
      </c>
      <c r="DK16" s="165">
        <v>13</v>
      </c>
      <c r="DL16" s="32">
        <v>1</v>
      </c>
      <c r="DM16" s="32">
        <f>AVERAGE(3,3,3,3,3,2)</f>
        <v>2.8333333333333335</v>
      </c>
      <c r="DN16" s="32">
        <v>3</v>
      </c>
      <c r="DO16" s="32">
        <v>1</v>
      </c>
      <c r="DP16" s="33">
        <f t="shared" si="22"/>
        <v>7.8333333333333339</v>
      </c>
      <c r="DQ16" s="32">
        <f>MEDIAN(3,3,3,3,3,2)</f>
        <v>3</v>
      </c>
      <c r="DR16" s="75">
        <f t="shared" si="23"/>
        <v>8</v>
      </c>
      <c r="DT16" s="165">
        <v>13</v>
      </c>
      <c r="DU16" s="32">
        <v>1</v>
      </c>
      <c r="DV16" s="32">
        <f>AVERAGE(3,2,2,2,3,3,3,2,2,2,2,3,3,2,3,3,3)</f>
        <v>2.5294117647058822</v>
      </c>
      <c r="DW16" s="32">
        <v>1</v>
      </c>
      <c r="DX16" s="32">
        <v>0</v>
      </c>
      <c r="DY16" s="33">
        <f t="shared" si="24"/>
        <v>4.5294117647058822</v>
      </c>
      <c r="DZ16" s="32">
        <f>MEDIAN(3,2,2,2,3,3,3,2,2,2,2,3,3,2,3,3,3)</f>
        <v>3</v>
      </c>
      <c r="EA16" s="75">
        <f t="shared" si="25"/>
        <v>5</v>
      </c>
      <c r="EC16" s="165">
        <v>13</v>
      </c>
      <c r="ED16" s="32">
        <v>1</v>
      </c>
      <c r="EE16" s="32">
        <f>AVERAGE(2,3,3)</f>
        <v>2.6666666666666665</v>
      </c>
      <c r="EF16" s="32">
        <v>1</v>
      </c>
      <c r="EG16" s="32">
        <v>1</v>
      </c>
      <c r="EH16" s="33">
        <f t="shared" si="26"/>
        <v>5.6666666666666661</v>
      </c>
      <c r="EI16" s="32">
        <f>MEDIAN(2,3,3)</f>
        <v>3</v>
      </c>
      <c r="EJ16" s="75">
        <f t="shared" si="27"/>
        <v>6</v>
      </c>
      <c r="EL16" s="165">
        <v>13</v>
      </c>
      <c r="EM16" s="32">
        <v>1</v>
      </c>
      <c r="EN16" s="32">
        <f>AVERAGE(2,3,2,2,2,2)</f>
        <v>2.1666666666666665</v>
      </c>
      <c r="EO16" s="32">
        <v>3</v>
      </c>
      <c r="EP16" s="32">
        <v>1</v>
      </c>
      <c r="EQ16" s="33">
        <f t="shared" si="28"/>
        <v>7.1666666666666661</v>
      </c>
      <c r="ER16" s="197">
        <f>MEDIAN(2,3,2,2,2,2)</f>
        <v>2</v>
      </c>
      <c r="ES16">
        <f t="shared" si="29"/>
        <v>7</v>
      </c>
      <c r="EU16" s="165">
        <v>13</v>
      </c>
      <c r="EV16" s="32">
        <v>1</v>
      </c>
      <c r="EW16" s="32">
        <f>AVERAGE(2,2,3,2,2,3,2,3,3,3,3,3)</f>
        <v>2.5833333333333335</v>
      </c>
      <c r="EX16" s="32">
        <v>1</v>
      </c>
      <c r="EY16" s="32">
        <v>1</v>
      </c>
      <c r="EZ16" s="33">
        <f t="shared" si="30"/>
        <v>5.5833333333333339</v>
      </c>
      <c r="FA16" s="197">
        <f>MEDIAN(2,2,3,2,2,3,2,3,3,3,3,3)</f>
        <v>3</v>
      </c>
      <c r="FB16">
        <f t="shared" si="31"/>
        <v>6</v>
      </c>
      <c r="FD16" s="165">
        <v>13</v>
      </c>
      <c r="FE16" s="32">
        <v>0</v>
      </c>
      <c r="FF16" s="32">
        <f>AVERAGE(3,3,3,3,3,3,2)</f>
        <v>2.8571428571428572</v>
      </c>
      <c r="FG16" s="32">
        <v>1</v>
      </c>
      <c r="FH16" s="32">
        <v>0</v>
      </c>
      <c r="FI16" s="33">
        <f t="shared" si="32"/>
        <v>3.8571428571428572</v>
      </c>
      <c r="FJ16" s="197">
        <f>MEDIAN(3,3,3,3,3,3,2)</f>
        <v>3</v>
      </c>
      <c r="FK16">
        <f t="shared" si="33"/>
        <v>4</v>
      </c>
      <c r="FM16" s="165">
        <v>13</v>
      </c>
      <c r="FN16" s="32">
        <v>0</v>
      </c>
      <c r="FO16" s="32">
        <f>AVERAGE(3,3,3,2,3,2,3,2,2,2)</f>
        <v>2.5</v>
      </c>
      <c r="FP16" s="32">
        <v>3</v>
      </c>
      <c r="FQ16" s="32">
        <v>1</v>
      </c>
      <c r="FR16" s="33">
        <f t="shared" si="34"/>
        <v>6.5</v>
      </c>
      <c r="FS16" s="197">
        <f>MEDIAN(3,3,3,2,3,2,3,2,2,2)</f>
        <v>2.5</v>
      </c>
      <c r="FT16">
        <f t="shared" si="35"/>
        <v>6.5</v>
      </c>
      <c r="FV16" s="165">
        <v>13</v>
      </c>
      <c r="FW16" s="32">
        <v>1</v>
      </c>
      <c r="FX16" s="32">
        <f>MEDIAN(2,2,3,2,3,3,2,3,2,2,2,2,3,2,3,3,3,3)</f>
        <v>2.5</v>
      </c>
      <c r="FY16" s="32">
        <v>3</v>
      </c>
      <c r="FZ16" s="32">
        <v>1</v>
      </c>
      <c r="GA16" s="33">
        <f t="shared" si="36"/>
        <v>7.5</v>
      </c>
      <c r="GB16" s="32">
        <f>MEDIAN(2,2,3,2,3,3,2,3,2,2,2,2,3,2,3,3,3,3)</f>
        <v>2.5</v>
      </c>
      <c r="GC16">
        <f t="shared" si="37"/>
        <v>7.5</v>
      </c>
      <c r="GE16" s="165">
        <v>13</v>
      </c>
      <c r="GF16" s="32">
        <v>1</v>
      </c>
      <c r="GG16" s="32">
        <f>MEDIAN(3,3,3,3,3)</f>
        <v>3</v>
      </c>
      <c r="GH16" s="32">
        <v>0</v>
      </c>
      <c r="GI16" s="32">
        <v>1</v>
      </c>
      <c r="GJ16" s="18">
        <f t="shared" si="38"/>
        <v>5</v>
      </c>
      <c r="GK16" s="32">
        <f>MEDIAN(3,3,3,3,3)</f>
        <v>3</v>
      </c>
      <c r="GL16">
        <f t="shared" si="39"/>
        <v>5</v>
      </c>
      <c r="GN16" s="165">
        <v>13</v>
      </c>
      <c r="GO16" s="32">
        <v>1</v>
      </c>
      <c r="GP16" s="32">
        <f>AVERAGE(3,3,2,2,3,2,3,2,2)</f>
        <v>2.4444444444444446</v>
      </c>
      <c r="GQ16" s="32">
        <v>0</v>
      </c>
      <c r="GR16" s="32">
        <v>0</v>
      </c>
      <c r="GS16" s="33">
        <f t="shared" si="40"/>
        <v>3.4444444444444446</v>
      </c>
      <c r="GT16" s="196">
        <f>MEDIAN(3,3,2,2,3,2,3,2,2)</f>
        <v>2</v>
      </c>
      <c r="GU16" s="32">
        <f t="shared" si="41"/>
        <v>3</v>
      </c>
      <c r="GW16" s="165">
        <v>13</v>
      </c>
      <c r="GX16" s="32">
        <v>2</v>
      </c>
      <c r="GY16" s="32">
        <f>AVERAGE(2,2,3,3,2,3,3)</f>
        <v>2.5714285714285716</v>
      </c>
      <c r="GZ16" s="32">
        <v>3</v>
      </c>
      <c r="HA16" s="32">
        <v>2</v>
      </c>
      <c r="HB16" s="33">
        <f t="shared" si="42"/>
        <v>9.5714285714285712</v>
      </c>
      <c r="HC16" s="196">
        <f>MEDIAN(2,2,3,3,2,3,3)</f>
        <v>3</v>
      </c>
      <c r="HD16">
        <f t="shared" si="43"/>
        <v>10</v>
      </c>
      <c r="HF16" s="165">
        <v>13</v>
      </c>
      <c r="HG16" s="32">
        <v>0</v>
      </c>
      <c r="HH16" s="32">
        <f>AVERAGE(3,3,3,2,2,2,3,2,2)</f>
        <v>2.4444444444444446</v>
      </c>
      <c r="HI16" s="32">
        <v>1</v>
      </c>
      <c r="HJ16" s="32">
        <v>0</v>
      </c>
      <c r="HK16" s="33">
        <f t="shared" si="44"/>
        <v>3.4444444444444446</v>
      </c>
      <c r="HL16" s="32">
        <f>MEDIAN(3,3,3,2,2,2,3,2,2)</f>
        <v>2</v>
      </c>
      <c r="HM16">
        <f t="shared" si="45"/>
        <v>3</v>
      </c>
      <c r="HO16" s="165">
        <v>13</v>
      </c>
      <c r="HP16" s="32">
        <v>1</v>
      </c>
      <c r="HQ16" s="32">
        <f>AVERAGE(3,3,3,2,2,2,3,2,3)</f>
        <v>2.5555555555555554</v>
      </c>
      <c r="HR16" s="32">
        <v>2</v>
      </c>
      <c r="HS16" s="32">
        <v>2</v>
      </c>
      <c r="HT16" s="33">
        <f t="shared" si="46"/>
        <v>7.5555555555555554</v>
      </c>
      <c r="HU16" s="32">
        <f>MEDIAN(3,3,3,2,2,2,3,2,3)</f>
        <v>3</v>
      </c>
      <c r="HV16">
        <f t="shared" si="47"/>
        <v>8</v>
      </c>
      <c r="HX16" s="165">
        <v>13</v>
      </c>
      <c r="HY16" s="32">
        <v>0</v>
      </c>
      <c r="HZ16" s="32">
        <f>MEDIAN(3,3,3,3,3,3,3,3)</f>
        <v>3</v>
      </c>
      <c r="IA16" s="32">
        <v>3</v>
      </c>
      <c r="IB16" s="32">
        <v>1</v>
      </c>
      <c r="IC16" s="33">
        <f t="shared" si="48"/>
        <v>7</v>
      </c>
      <c r="ID16" s="32">
        <f>MEDIAN(3,3,3,3,3,3,3,3)</f>
        <v>3</v>
      </c>
      <c r="IE16">
        <f t="shared" si="49"/>
        <v>7</v>
      </c>
      <c r="IG16" s="165">
        <v>13</v>
      </c>
      <c r="IH16" s="32">
        <v>1</v>
      </c>
      <c r="II16" s="32">
        <f>MEDIAN(3,2,3,3,3,3,2,3,3)</f>
        <v>3</v>
      </c>
      <c r="IJ16" s="32">
        <v>2</v>
      </c>
      <c r="IK16" s="32">
        <v>1</v>
      </c>
      <c r="IL16" s="33">
        <f t="shared" si="50"/>
        <v>7</v>
      </c>
      <c r="IM16" s="32">
        <f>MEDIAN(3,2,3,3,3,3,2,3,3)</f>
        <v>3</v>
      </c>
      <c r="IN16">
        <f t="shared" si="51"/>
        <v>7</v>
      </c>
      <c r="IP16" s="165">
        <v>13</v>
      </c>
      <c r="IQ16" s="32">
        <v>1</v>
      </c>
      <c r="IR16" s="32">
        <f>AVERAGE(3,3,3,2,3,3,3)</f>
        <v>2.8571428571428572</v>
      </c>
      <c r="IS16" s="32">
        <v>2</v>
      </c>
      <c r="IT16" s="32">
        <v>1</v>
      </c>
      <c r="IU16" s="33">
        <f t="shared" si="52"/>
        <v>6.8571428571428577</v>
      </c>
      <c r="IV16" s="32">
        <f>MEDIAN(3,3,3,2,3,3,3)</f>
        <v>3</v>
      </c>
      <c r="IW16">
        <f t="shared" si="53"/>
        <v>7</v>
      </c>
      <c r="IY16" s="165">
        <v>13</v>
      </c>
      <c r="IZ16" s="32">
        <v>0</v>
      </c>
      <c r="JA16" s="32">
        <f>AVERAGE(3,3,3,3,3,3,3,3,3,3)</f>
        <v>3</v>
      </c>
      <c r="JB16" s="32">
        <v>3</v>
      </c>
      <c r="JC16" s="32">
        <v>1</v>
      </c>
      <c r="JD16" s="33">
        <f t="shared" si="54"/>
        <v>7</v>
      </c>
      <c r="JE16" s="32">
        <f>MEDIAN(3,3,3,3,3,3,3,3,3,3)</f>
        <v>3</v>
      </c>
      <c r="JF16">
        <f t="shared" si="55"/>
        <v>7</v>
      </c>
      <c r="JH16" s="165">
        <v>13</v>
      </c>
      <c r="JI16" s="32">
        <v>1</v>
      </c>
      <c r="JJ16" s="32">
        <f>MEDIAN(3,3,3,3)</f>
        <v>3</v>
      </c>
      <c r="JK16" s="32">
        <v>2</v>
      </c>
      <c r="JL16" s="32">
        <v>2</v>
      </c>
      <c r="JM16" s="33">
        <f t="shared" si="56"/>
        <v>8</v>
      </c>
      <c r="JN16" s="32">
        <f>MEDIAN(3,3,3,3)</f>
        <v>3</v>
      </c>
      <c r="JO16">
        <f t="shared" si="57"/>
        <v>8</v>
      </c>
      <c r="JQ16" s="165">
        <v>13</v>
      </c>
      <c r="JR16" s="32">
        <v>0</v>
      </c>
      <c r="JS16" s="32">
        <f>MEDIAN(3,2,3)</f>
        <v>3</v>
      </c>
      <c r="JT16" s="32">
        <v>0</v>
      </c>
      <c r="JU16" s="32">
        <v>1</v>
      </c>
      <c r="JV16" s="33">
        <f t="shared" si="58"/>
        <v>4</v>
      </c>
      <c r="JW16" s="32">
        <f>MEDIAN(3,2,3)</f>
        <v>3</v>
      </c>
      <c r="JX16">
        <f t="shared" si="59"/>
        <v>4</v>
      </c>
      <c r="JZ16" s="165">
        <v>13</v>
      </c>
      <c r="KA16" s="32">
        <v>0</v>
      </c>
      <c r="KB16" s="32">
        <f>AVERAGE(3,3,3,2,3,3,2,3,3)</f>
        <v>2.7777777777777777</v>
      </c>
      <c r="KC16" s="32">
        <v>3</v>
      </c>
      <c r="KD16" s="32">
        <v>1</v>
      </c>
      <c r="KE16" s="33">
        <f t="shared" si="60"/>
        <v>6.7777777777777777</v>
      </c>
      <c r="KF16" s="32">
        <f>MEDIAN(3,3,3,2,3,3,2,3,3)</f>
        <v>3</v>
      </c>
      <c r="KG16">
        <f t="shared" si="61"/>
        <v>7</v>
      </c>
      <c r="KI16" s="165">
        <v>13</v>
      </c>
      <c r="KJ16" s="32">
        <v>0</v>
      </c>
      <c r="KK16" s="32">
        <f>AVERAGE(3,3,3,2,3,3,3,3)</f>
        <v>2.875</v>
      </c>
      <c r="KL16" s="32">
        <v>1</v>
      </c>
      <c r="KM16" s="32">
        <v>0</v>
      </c>
      <c r="KN16" s="33">
        <f t="shared" si="62"/>
        <v>3.875</v>
      </c>
      <c r="KO16" s="32">
        <f>MEDIAN(3,3,3,2,3,3,3,3)</f>
        <v>3</v>
      </c>
      <c r="KP16">
        <f t="shared" si="63"/>
        <v>4</v>
      </c>
      <c r="KR16" s="165">
        <v>13</v>
      </c>
      <c r="KS16" s="32">
        <v>1</v>
      </c>
      <c r="KT16" s="32">
        <f>AVERAGE(2,2,3,3,2,2,2,2,3,3,3)</f>
        <v>2.4545454545454546</v>
      </c>
      <c r="KU16" s="32">
        <v>3</v>
      </c>
      <c r="KV16" s="32">
        <v>3</v>
      </c>
      <c r="KW16" s="33">
        <f t="shared" si="64"/>
        <v>9.454545454545455</v>
      </c>
      <c r="KX16" s="32">
        <f>MEDIAN(2,2,3,3,2,2,2,2,3,3,3)</f>
        <v>2</v>
      </c>
      <c r="KY16">
        <f t="shared" si="65"/>
        <v>9</v>
      </c>
      <c r="LA16" s="165">
        <v>13</v>
      </c>
      <c r="LB16" s="32">
        <v>1</v>
      </c>
      <c r="LC16" s="32">
        <f>AVERAGE(3,3,3,3,3,3,3,3,3,2,3,2,3,3,2,3,3,3,3,)</f>
        <v>2.7</v>
      </c>
      <c r="LD16" s="32">
        <v>1</v>
      </c>
      <c r="LE16" s="32">
        <v>2</v>
      </c>
      <c r="LF16" s="33">
        <f t="shared" si="66"/>
        <v>6.7</v>
      </c>
      <c r="LG16" s="32">
        <f>MEDIAN(3,3,3,3,3,3,3,3,3,2,3,2,3,3,2,3,3,3,3,)</f>
        <v>3</v>
      </c>
      <c r="LH16">
        <f t="shared" si="67"/>
        <v>7</v>
      </c>
      <c r="LK16" s="165">
        <v>13</v>
      </c>
      <c r="LL16" s="32">
        <v>0</v>
      </c>
      <c r="LM16" s="32">
        <f>AVERAGE(2,2,3,2,2,3,2,2,2)</f>
        <v>2.2222222222222223</v>
      </c>
      <c r="LN16" s="32">
        <v>2</v>
      </c>
      <c r="LO16" s="32">
        <v>2</v>
      </c>
      <c r="LP16" s="33">
        <f t="shared" si="68"/>
        <v>6.2222222222222223</v>
      </c>
      <c r="LQ16" s="32">
        <f>MEDIAN(2,2,3,2,2,3,2,2,2)</f>
        <v>2</v>
      </c>
      <c r="LR16">
        <f t="shared" si="69"/>
        <v>6</v>
      </c>
      <c r="LT16" s="165">
        <v>13</v>
      </c>
      <c r="LU16" s="32">
        <v>1</v>
      </c>
      <c r="LV16" s="32">
        <f>AVERAGE(3,3,3,3,3,3,3,2,2)</f>
        <v>2.7777777777777777</v>
      </c>
      <c r="LW16" s="32">
        <v>0</v>
      </c>
      <c r="LX16" s="32">
        <v>1</v>
      </c>
      <c r="LY16" s="33">
        <f t="shared" si="70"/>
        <v>4.7777777777777777</v>
      </c>
      <c r="LZ16" s="32">
        <f>MEDIAN(3,3,3,3,3,3,3,2,2)</f>
        <v>3</v>
      </c>
      <c r="MA16">
        <f t="shared" si="71"/>
        <v>5</v>
      </c>
      <c r="MC16" s="165">
        <v>13</v>
      </c>
      <c r="MD16" s="32">
        <v>0</v>
      </c>
      <c r="ME16" s="32">
        <f>AVERAGE(3,3,3,3,3,3,3,3)</f>
        <v>3</v>
      </c>
      <c r="MF16" s="32">
        <v>1</v>
      </c>
      <c r="MG16" s="32">
        <v>0</v>
      </c>
      <c r="MH16" s="33">
        <f t="shared" si="72"/>
        <v>4</v>
      </c>
      <c r="MI16" s="32">
        <f>MEDIAN(3,3,3,3,3,3,3,3)</f>
        <v>3</v>
      </c>
      <c r="MJ16">
        <f t="shared" si="73"/>
        <v>4</v>
      </c>
      <c r="ML16" s="165">
        <v>13</v>
      </c>
      <c r="MM16" s="32">
        <v>1</v>
      </c>
      <c r="MN16" s="32">
        <f>AVERAGE(3,3,3,2,3,3,3,3,3,3,3,3,3,3,2,3,3,3,3)</f>
        <v>2.8947368421052633</v>
      </c>
      <c r="MO16" s="32">
        <v>3</v>
      </c>
      <c r="MP16" s="32">
        <v>1</v>
      </c>
      <c r="MQ16" s="33">
        <f t="shared" si="74"/>
        <v>7.8947368421052637</v>
      </c>
      <c r="MR16" s="32">
        <f>MEDIAN(3,3,3,2,3,3,3,3,3,3,3,3,3,3,2,3,3,3,3)</f>
        <v>3</v>
      </c>
      <c r="MS16">
        <f t="shared" si="75"/>
        <v>8</v>
      </c>
      <c r="MU16" s="165">
        <v>13</v>
      </c>
      <c r="MV16" s="32">
        <v>1</v>
      </c>
      <c r="MW16" s="32">
        <f>MEDIAN(3,2,3,3,2,2,2,2)</f>
        <v>2</v>
      </c>
      <c r="MX16" s="32">
        <v>2</v>
      </c>
      <c r="MY16" s="32">
        <v>1</v>
      </c>
      <c r="MZ16" s="33">
        <f t="shared" si="76"/>
        <v>6</v>
      </c>
      <c r="NA16" s="32">
        <f>MEDIAN(3,2,3,3,2,2,2,2)</f>
        <v>2</v>
      </c>
      <c r="NB16">
        <f t="shared" si="77"/>
        <v>6</v>
      </c>
      <c r="ND16" s="165">
        <v>13</v>
      </c>
      <c r="NE16" s="32">
        <v>1</v>
      </c>
      <c r="NF16" s="32">
        <f>MEDIAN(3,3,2,3,2,2,3,3,2,3,3,3,3,2,2,3)</f>
        <v>3</v>
      </c>
      <c r="NG16" s="32">
        <v>2</v>
      </c>
      <c r="NH16" s="32">
        <v>1</v>
      </c>
      <c r="NI16" s="33">
        <f t="shared" si="78"/>
        <v>7</v>
      </c>
      <c r="NJ16" s="32">
        <f>MEDIAN(3,3,2,3,2,2,3,3,2,3,3,3,3,2,2,3)</f>
        <v>3</v>
      </c>
      <c r="NK16">
        <f t="shared" si="79"/>
        <v>7</v>
      </c>
      <c r="NM16" s="165">
        <v>13</v>
      </c>
      <c r="NN16" s="32">
        <v>1</v>
      </c>
      <c r="NO16" s="32">
        <f>AVERAGE(3,3,3,3,3,2,2,3,3,2,3)</f>
        <v>2.7272727272727271</v>
      </c>
      <c r="NP16" s="32">
        <v>0</v>
      </c>
      <c r="NQ16" s="32">
        <v>0</v>
      </c>
      <c r="NR16" s="33">
        <f t="shared" si="80"/>
        <v>3.7272727272727271</v>
      </c>
      <c r="NS16" s="32">
        <f>MEDIAN(3,3,3,3,3,2,2,3,3,2,3)</f>
        <v>3</v>
      </c>
      <c r="NT16">
        <f t="shared" si="81"/>
        <v>4</v>
      </c>
      <c r="NV16" s="165">
        <v>13</v>
      </c>
      <c r="NW16" s="32">
        <v>1</v>
      </c>
      <c r="NX16" s="32">
        <f>AVERAGE(3,3,3,3,3,3,3,2,2,2,3,3,2)</f>
        <v>2.6923076923076925</v>
      </c>
      <c r="NY16" s="32">
        <v>3</v>
      </c>
      <c r="NZ16" s="32">
        <v>2</v>
      </c>
      <c r="OA16" s="33">
        <f t="shared" si="82"/>
        <v>8.6923076923076934</v>
      </c>
      <c r="OB16" s="32">
        <f>MEDIAN(3,3,3,3,3,3,3,2,2,2,3,3,2)</f>
        <v>3</v>
      </c>
      <c r="OC16">
        <f t="shared" si="83"/>
        <v>9</v>
      </c>
      <c r="OE16" s="165">
        <v>13</v>
      </c>
      <c r="OF16" s="32">
        <v>1</v>
      </c>
      <c r="OG16" s="32">
        <f>MEDIAN(3,3,2,2,3,3,2,3,3)</f>
        <v>3</v>
      </c>
      <c r="OH16" s="32">
        <v>1</v>
      </c>
      <c r="OI16" s="32">
        <v>2</v>
      </c>
      <c r="OJ16" s="33">
        <f t="shared" si="84"/>
        <v>7</v>
      </c>
      <c r="OK16" s="32">
        <f>MEDIAN(3,3,2,2,3,3,2,3,3)</f>
        <v>3</v>
      </c>
      <c r="OL16">
        <f t="shared" si="85"/>
        <v>7</v>
      </c>
      <c r="ON16" s="165">
        <v>13</v>
      </c>
      <c r="OO16" s="32">
        <v>1</v>
      </c>
      <c r="OP16" s="32">
        <f>MEDIAN(3,3,3,3,2,2,3)</f>
        <v>3</v>
      </c>
      <c r="OQ16" s="32">
        <v>2</v>
      </c>
      <c r="OR16" s="32">
        <v>2</v>
      </c>
      <c r="OS16" s="33">
        <f t="shared" si="86"/>
        <v>8</v>
      </c>
      <c r="OT16" s="32">
        <f>MEDIAN(3,3,3,3,2,2,3)</f>
        <v>3</v>
      </c>
      <c r="OU16">
        <f t="shared" si="87"/>
        <v>8</v>
      </c>
      <c r="OW16" s="165">
        <v>13</v>
      </c>
      <c r="OX16" s="32">
        <v>0</v>
      </c>
      <c r="OY16" s="32">
        <f>AVERAGE(2,3,3,3,2)</f>
        <v>2.6</v>
      </c>
      <c r="OZ16" s="32">
        <v>2</v>
      </c>
      <c r="PA16" s="32">
        <v>2</v>
      </c>
      <c r="PB16" s="33">
        <f t="shared" si="88"/>
        <v>6.6</v>
      </c>
      <c r="PC16" s="32">
        <f>MEDIAN(2,3,3,3,2)</f>
        <v>3</v>
      </c>
      <c r="PD16">
        <f t="shared" si="89"/>
        <v>7</v>
      </c>
      <c r="PF16" s="165">
        <v>13</v>
      </c>
      <c r="PG16" s="32">
        <v>1</v>
      </c>
      <c r="PH16" s="32">
        <f>AVERAGE(2,3,3)</f>
        <v>2.6666666666666665</v>
      </c>
      <c r="PI16" s="32">
        <v>1</v>
      </c>
      <c r="PJ16" s="32">
        <v>0</v>
      </c>
      <c r="PK16" s="33">
        <f t="shared" si="90"/>
        <v>4.6666666666666661</v>
      </c>
      <c r="PL16" s="32">
        <f>MEDIAN(2,3,3)</f>
        <v>3</v>
      </c>
      <c r="PM16">
        <f t="shared" si="91"/>
        <v>5</v>
      </c>
      <c r="PO16" s="165">
        <v>13</v>
      </c>
      <c r="PP16" s="32">
        <v>1</v>
      </c>
      <c r="PQ16" s="32">
        <f>MEDIAN(2,2,2,2,2,3,2,2,2)</f>
        <v>2</v>
      </c>
      <c r="PR16" s="32">
        <v>2</v>
      </c>
      <c r="PS16" s="32">
        <v>0</v>
      </c>
      <c r="PT16" s="33">
        <f t="shared" si="92"/>
        <v>5</v>
      </c>
      <c r="PV16" s="165">
        <v>13</v>
      </c>
      <c r="PW16" s="32">
        <v>1</v>
      </c>
      <c r="PX16" s="32">
        <f>MEDIAN(3,3,2,3,3)</f>
        <v>3</v>
      </c>
      <c r="PY16" s="32">
        <v>1</v>
      </c>
      <c r="PZ16" s="32">
        <v>1</v>
      </c>
      <c r="QA16" s="33">
        <f t="shared" si="93"/>
        <v>6</v>
      </c>
      <c r="QB16" s="32">
        <f>MEDIAN(3,3,2,3,3)</f>
        <v>3</v>
      </c>
      <c r="QC16">
        <f t="shared" si="94"/>
        <v>6</v>
      </c>
      <c r="QE16" s="165">
        <v>13</v>
      </c>
      <c r="QF16" s="32">
        <v>0</v>
      </c>
      <c r="QG16" s="32">
        <f>MEDIAN(3,2,2,3,3,3,3,3,3)</f>
        <v>3</v>
      </c>
      <c r="QH16" s="32">
        <v>1</v>
      </c>
      <c r="QI16" s="32">
        <v>1</v>
      </c>
      <c r="QJ16" s="33">
        <f t="shared" si="95"/>
        <v>5</v>
      </c>
      <c r="QK16" s="32">
        <f>MEDIAN(3,2,2,3,3,3,3,3,3)</f>
        <v>3</v>
      </c>
      <c r="QL16">
        <f t="shared" si="96"/>
        <v>5</v>
      </c>
      <c r="QN16" s="165">
        <v>13</v>
      </c>
      <c r="QO16" s="32">
        <v>2</v>
      </c>
      <c r="QP16" s="32">
        <f>MEDIAN(3,2,2)</f>
        <v>2</v>
      </c>
      <c r="QQ16" s="32">
        <v>2</v>
      </c>
      <c r="QR16" s="32">
        <v>2</v>
      </c>
      <c r="QS16" s="33">
        <f t="shared" si="97"/>
        <v>8</v>
      </c>
      <c r="QT16" s="32">
        <f>MEDIAN(3,2,2)</f>
        <v>2</v>
      </c>
      <c r="QU16">
        <f t="shared" si="98"/>
        <v>8</v>
      </c>
      <c r="QW16" s="165">
        <v>13</v>
      </c>
      <c r="QX16" s="32">
        <v>0</v>
      </c>
      <c r="QY16" s="32">
        <f>AVERAGE(2,3,2,3,3,3,3,3,3,3)</f>
        <v>2.8</v>
      </c>
      <c r="QZ16" s="32">
        <v>2</v>
      </c>
      <c r="RA16" s="32">
        <v>1</v>
      </c>
      <c r="RB16" s="33">
        <f t="shared" si="99"/>
        <v>5.8</v>
      </c>
      <c r="RC16" s="32">
        <f>MEDIAN(2,3,2,3,3,3,3,3,3,3)</f>
        <v>3</v>
      </c>
      <c r="RD16">
        <f t="shared" si="100"/>
        <v>6</v>
      </c>
      <c r="RF16" s="165">
        <v>13</v>
      </c>
      <c r="RG16" s="32">
        <v>1</v>
      </c>
      <c r="RH16" s="32">
        <f>AVERAGE(3,3,3,3,3,3,2,3,3,2,3,2)</f>
        <v>2.75</v>
      </c>
      <c r="RI16" s="32">
        <v>0</v>
      </c>
      <c r="RJ16" s="32">
        <v>0</v>
      </c>
      <c r="RK16" s="33">
        <f t="shared" si="101"/>
        <v>3.75</v>
      </c>
      <c r="RL16" s="32">
        <f>MEDIAN(3,3,3,3,3,3,2,3,3,2,3,2)</f>
        <v>3</v>
      </c>
      <c r="RM16">
        <f t="shared" si="102"/>
        <v>4</v>
      </c>
      <c r="RO16" s="165">
        <v>13</v>
      </c>
      <c r="RP16" s="32">
        <v>1</v>
      </c>
      <c r="RQ16" s="32">
        <f>AVERAGE(3,2)</f>
        <v>2.5</v>
      </c>
      <c r="RR16" s="32">
        <v>1</v>
      </c>
      <c r="RS16" s="32">
        <v>1</v>
      </c>
      <c r="RT16" s="33">
        <f t="shared" si="103"/>
        <v>5.5</v>
      </c>
      <c r="RU16" s="32">
        <f>MEDIAN(3,2)</f>
        <v>2.5</v>
      </c>
      <c r="RV16">
        <f t="shared" si="104"/>
        <v>5.5</v>
      </c>
      <c r="RX16" s="165">
        <v>13</v>
      </c>
      <c r="RY16" s="32">
        <v>0</v>
      </c>
      <c r="RZ16" s="32">
        <f>AVERAGE(3,3,2,3,2,3,3,3,3,2,2,3)</f>
        <v>2.6666666666666665</v>
      </c>
      <c r="SA16" s="32">
        <v>1</v>
      </c>
      <c r="SB16" s="32">
        <v>1</v>
      </c>
      <c r="SC16" s="33">
        <f t="shared" si="105"/>
        <v>4.6666666666666661</v>
      </c>
      <c r="SD16" s="32">
        <f>MEDIAN(3,3,2,3,2,3,3,3,3,2,2,3)</f>
        <v>3</v>
      </c>
      <c r="SE16">
        <f t="shared" si="106"/>
        <v>5</v>
      </c>
      <c r="SG16" s="165">
        <v>13</v>
      </c>
      <c r="SH16" s="32">
        <v>0</v>
      </c>
      <c r="SI16" s="32">
        <f>MEDIAN(3,3,3,3,2,3,2)</f>
        <v>3</v>
      </c>
      <c r="SJ16" s="32">
        <v>3</v>
      </c>
      <c r="SK16" s="32">
        <v>3</v>
      </c>
      <c r="SL16" s="33">
        <f t="shared" si="107"/>
        <v>9</v>
      </c>
      <c r="SM16" s="32">
        <f>MEDIAN(3,3,3,3,2,3,2)</f>
        <v>3</v>
      </c>
      <c r="SN16">
        <f t="shared" si="108"/>
        <v>9</v>
      </c>
      <c r="SP16" s="165">
        <v>13</v>
      </c>
      <c r="SQ16" s="32">
        <v>1</v>
      </c>
      <c r="SR16" s="32">
        <f>MEDIAN(3,3,2,3,3,3,2,3,2,2,3,3,3)</f>
        <v>3</v>
      </c>
      <c r="SS16" s="32">
        <v>0</v>
      </c>
      <c r="ST16" s="32">
        <v>1</v>
      </c>
      <c r="SU16" s="33">
        <f t="shared" si="109"/>
        <v>5</v>
      </c>
      <c r="SV16" s="32">
        <f>MEDIAN(3,3,2,3,3,3,2,3,2,2,3,3,3)</f>
        <v>3</v>
      </c>
      <c r="SW16">
        <f t="shared" si="110"/>
        <v>5</v>
      </c>
      <c r="SY16" s="165">
        <v>13</v>
      </c>
      <c r="SZ16" s="32">
        <v>1</v>
      </c>
      <c r="TA16" s="32">
        <f>AVERAGE(2,2,2,2,2,2,2,2,2,2,2,2,2)</f>
        <v>2</v>
      </c>
      <c r="TB16" s="32">
        <v>2</v>
      </c>
      <c r="TC16" s="32">
        <v>1</v>
      </c>
      <c r="TD16" s="33">
        <f t="shared" si="111"/>
        <v>6</v>
      </c>
      <c r="TE16" s="32">
        <f>MEDIAN(2,2,2,2,2,2,2,2,2,2,2,2,2)</f>
        <v>2</v>
      </c>
      <c r="TF16">
        <f t="shared" si="112"/>
        <v>6</v>
      </c>
      <c r="TH16" s="165">
        <v>13</v>
      </c>
      <c r="TI16" s="32">
        <v>2</v>
      </c>
      <c r="TJ16" s="32">
        <f>MEDIAN(3,2,3,2,3,3,2,2,3)</f>
        <v>3</v>
      </c>
      <c r="TK16" s="32">
        <v>3</v>
      </c>
      <c r="TL16" s="32">
        <v>3</v>
      </c>
      <c r="TM16" s="33">
        <f t="shared" si="113"/>
        <v>11</v>
      </c>
      <c r="TN16" s="32">
        <f>MEDIAN(3,2,3,2,3,3,2,2,3)</f>
        <v>3</v>
      </c>
      <c r="TO16">
        <f t="shared" si="114"/>
        <v>11</v>
      </c>
      <c r="TQ16" s="165">
        <v>13</v>
      </c>
      <c r="TR16" s="32">
        <v>1</v>
      </c>
      <c r="TS16" s="32">
        <f>MEDIAN(3)</f>
        <v>3</v>
      </c>
      <c r="TT16" s="32">
        <v>1</v>
      </c>
      <c r="TU16" s="32">
        <v>1</v>
      </c>
      <c r="TV16" s="33">
        <f t="shared" si="115"/>
        <v>6</v>
      </c>
      <c r="TX16" s="165">
        <v>13</v>
      </c>
      <c r="TY16" s="32">
        <v>1</v>
      </c>
      <c r="TZ16" s="32">
        <f>MEDIAN(2,2,2,2)</f>
        <v>2</v>
      </c>
      <c r="UA16" s="32">
        <v>1</v>
      </c>
      <c r="UB16" s="32">
        <v>2</v>
      </c>
      <c r="UC16" s="33">
        <f t="shared" si="116"/>
        <v>6</v>
      </c>
      <c r="UD16" s="32">
        <f>MEDIAN(2,2,2,2)</f>
        <v>2</v>
      </c>
      <c r="UE16">
        <f t="shared" si="117"/>
        <v>6</v>
      </c>
      <c r="UG16" s="165">
        <v>13</v>
      </c>
      <c r="UH16" s="32">
        <v>1</v>
      </c>
      <c r="UI16" s="32">
        <f>MEDIAN(3,3,3,2,2,3)</f>
        <v>3</v>
      </c>
      <c r="UJ16" s="32">
        <v>1</v>
      </c>
      <c r="UK16" s="32">
        <v>0</v>
      </c>
      <c r="UL16" s="33">
        <f t="shared" si="118"/>
        <v>5</v>
      </c>
      <c r="UN16" s="165">
        <v>13</v>
      </c>
      <c r="UO16" s="32">
        <v>1</v>
      </c>
      <c r="UP16" s="32">
        <f>AVERAGE(3,3,3,2)</f>
        <v>2.75</v>
      </c>
      <c r="UQ16" s="32">
        <v>3</v>
      </c>
      <c r="UR16" s="32">
        <v>1</v>
      </c>
      <c r="US16" s="33">
        <f t="shared" si="119"/>
        <v>7.75</v>
      </c>
      <c r="UT16" s="32">
        <f>MEDIAN(3,3,3,2)</f>
        <v>3</v>
      </c>
      <c r="UU16">
        <f t="shared" si="120"/>
        <v>8</v>
      </c>
      <c r="UW16" s="165">
        <v>13</v>
      </c>
      <c r="UX16" s="32">
        <v>0</v>
      </c>
      <c r="UY16" s="32">
        <f>AVERAGE(2,2,2,2,2,3,2)</f>
        <v>2.1428571428571428</v>
      </c>
      <c r="UZ16" s="32">
        <v>0</v>
      </c>
      <c r="VA16" s="32">
        <v>1</v>
      </c>
      <c r="VB16" s="33">
        <f t="shared" si="121"/>
        <v>3.1428571428571428</v>
      </c>
      <c r="VC16" s="32">
        <f>MEDIAN(2,2,2,2,2,3,2)</f>
        <v>2</v>
      </c>
      <c r="VD16">
        <f t="shared" si="122"/>
        <v>3</v>
      </c>
      <c r="VF16" s="165">
        <v>13</v>
      </c>
      <c r="VG16" s="32">
        <v>2</v>
      </c>
      <c r="VH16" s="32">
        <f>AVERAGE(3,3,3,3,3,3,2,2,3,3)</f>
        <v>2.8</v>
      </c>
      <c r="VI16" s="48">
        <v>2</v>
      </c>
      <c r="VJ16" s="32">
        <v>1</v>
      </c>
      <c r="VK16" s="33">
        <f t="shared" si="123"/>
        <v>7.8</v>
      </c>
      <c r="VL16" s="32">
        <f>MEDIAN(3,3,3,3,3,3,2,2,3,3)</f>
        <v>3</v>
      </c>
      <c r="VM16">
        <f>SUM(VG16,VH15,VJ16,VL16)</f>
        <v>8</v>
      </c>
      <c r="VO16" s="165">
        <v>13</v>
      </c>
      <c r="VP16" s="32">
        <v>1</v>
      </c>
      <c r="VQ16" s="32">
        <f>AVERAGE(2,2,2)</f>
        <v>2</v>
      </c>
      <c r="VR16" s="32">
        <v>1</v>
      </c>
      <c r="VS16" s="32">
        <v>0</v>
      </c>
      <c r="VT16" s="33">
        <f t="shared" si="125"/>
        <v>4</v>
      </c>
      <c r="VU16" s="32">
        <f>MEDIAN(2,2,2)</f>
        <v>2</v>
      </c>
      <c r="VV16">
        <f t="shared" si="126"/>
        <v>4</v>
      </c>
    </row>
    <row r="17" spans="2:594" ht="15" thickBot="1" x14ac:dyDescent="0.4">
      <c r="B17" s="165">
        <v>14</v>
      </c>
      <c r="C17" s="32">
        <v>1</v>
      </c>
      <c r="D17" s="32">
        <f>AVERAGE(2,2,2,2,2,2,2,1)</f>
        <v>1.875</v>
      </c>
      <c r="E17" s="32">
        <v>1</v>
      </c>
      <c r="F17" s="32">
        <v>1</v>
      </c>
      <c r="G17" s="33">
        <f t="shared" si="0"/>
        <v>4.875</v>
      </c>
      <c r="H17" s="32">
        <f>MEDIAN(2,2,2,2,2,2,2,1)</f>
        <v>2</v>
      </c>
      <c r="I17" s="75">
        <f t="shared" si="1"/>
        <v>5</v>
      </c>
      <c r="K17" s="165">
        <v>14</v>
      </c>
      <c r="L17" s="32">
        <v>2</v>
      </c>
      <c r="M17" s="32">
        <f>AVERAGE(2,3,3)</f>
        <v>2.6666666666666665</v>
      </c>
      <c r="N17" s="32">
        <v>2</v>
      </c>
      <c r="O17" s="32">
        <v>2</v>
      </c>
      <c r="P17" s="33">
        <f t="shared" si="2"/>
        <v>8.6666666666666661</v>
      </c>
      <c r="Q17" s="32">
        <f>MEDIAN(2,3,3)</f>
        <v>3</v>
      </c>
      <c r="R17" s="75">
        <f t="shared" si="3"/>
        <v>9</v>
      </c>
      <c r="T17" s="165">
        <v>14</v>
      </c>
      <c r="U17" s="32">
        <v>0</v>
      </c>
      <c r="V17" s="32">
        <f>AVERAGE(3,3,3,3)</f>
        <v>3</v>
      </c>
      <c r="W17" s="32">
        <v>2</v>
      </c>
      <c r="X17" s="32">
        <v>1</v>
      </c>
      <c r="Y17" s="32">
        <f>MEDIAN(3,3,3,3)</f>
        <v>3</v>
      </c>
      <c r="Z17" s="18">
        <f t="shared" si="4"/>
        <v>6</v>
      </c>
      <c r="AB17" s="165">
        <v>14</v>
      </c>
      <c r="AC17" s="32">
        <v>2</v>
      </c>
      <c r="AD17" s="32">
        <f>AVERAGE(3,2,3,2,2,3,2)</f>
        <v>2.4285714285714284</v>
      </c>
      <c r="AE17" s="32">
        <v>3</v>
      </c>
      <c r="AF17" s="32">
        <v>1</v>
      </c>
      <c r="AG17" s="32">
        <f>MEDIAN(3,2,3,2,2,3,2)</f>
        <v>2</v>
      </c>
      <c r="AH17" s="18">
        <f t="shared" si="5"/>
        <v>8</v>
      </c>
      <c r="AJ17" s="165">
        <v>14</v>
      </c>
      <c r="AK17" s="32">
        <v>1</v>
      </c>
      <c r="AL17" s="32">
        <f>AVERAGE(3,3,2,2,3,2,3)</f>
        <v>2.5714285714285716</v>
      </c>
      <c r="AM17" s="32">
        <v>1</v>
      </c>
      <c r="AN17" s="32">
        <v>1</v>
      </c>
      <c r="AO17" s="33">
        <f t="shared" si="6"/>
        <v>5.5714285714285712</v>
      </c>
      <c r="AP17" s="32">
        <f>MEDIAN(3,3,2,2,3,2,3)</f>
        <v>3</v>
      </c>
      <c r="AQ17" s="75">
        <f t="shared" si="7"/>
        <v>6</v>
      </c>
      <c r="AS17" s="165">
        <v>14</v>
      </c>
      <c r="AT17" s="32">
        <v>0</v>
      </c>
      <c r="AU17" s="32">
        <f>AVERAGE(3,3,3,2,2,3,3,3)</f>
        <v>2.75</v>
      </c>
      <c r="AV17" s="32">
        <v>2</v>
      </c>
      <c r="AW17" s="32">
        <v>2</v>
      </c>
      <c r="AX17" s="33">
        <f t="shared" si="8"/>
        <v>6.75</v>
      </c>
      <c r="AY17" s="32">
        <f>MEDIAN(3,3,3,2,2,3,3,3)</f>
        <v>3</v>
      </c>
      <c r="AZ17" s="75">
        <f t="shared" si="9"/>
        <v>7</v>
      </c>
      <c r="BB17" s="165">
        <v>14</v>
      </c>
      <c r="BC17" s="32">
        <v>1</v>
      </c>
      <c r="BD17" s="32">
        <f>MEDIAN(2,2,3,3,2,2,2,2,2,2,2,2)</f>
        <v>2</v>
      </c>
      <c r="BE17" s="32" t="s">
        <v>31</v>
      </c>
      <c r="BF17" s="32">
        <v>2</v>
      </c>
      <c r="BG17" s="205">
        <f t="shared" si="127"/>
        <v>6.6666666666666661</v>
      </c>
      <c r="BH17" s="32">
        <f>MEDIAN(2,2,3,3,2,2,2,2,2,2,2,2)</f>
        <v>2</v>
      </c>
      <c r="BI17" s="75">
        <f t="shared" si="11"/>
        <v>5</v>
      </c>
      <c r="BK17" s="165">
        <v>14</v>
      </c>
      <c r="BL17" s="32">
        <v>1</v>
      </c>
      <c r="BM17" s="32">
        <f>MEDIAN(2,3,3,3,2,3,2)</f>
        <v>3</v>
      </c>
      <c r="BN17" s="32">
        <v>1</v>
      </c>
      <c r="BO17" s="32">
        <v>0</v>
      </c>
      <c r="BP17" s="33">
        <f t="shared" si="12"/>
        <v>5</v>
      </c>
      <c r="BQ17" s="32">
        <f>MEDIAN(2,3,3,3,2,3,2)</f>
        <v>3</v>
      </c>
      <c r="BR17" s="75">
        <f t="shared" si="13"/>
        <v>5</v>
      </c>
      <c r="BT17" s="165">
        <v>14</v>
      </c>
      <c r="BU17" s="32">
        <v>0</v>
      </c>
      <c r="BV17" s="32">
        <f>MEDIAN(2,2,1,2,2,3)</f>
        <v>2</v>
      </c>
      <c r="BW17" s="32">
        <v>0</v>
      </c>
      <c r="BX17" s="32">
        <v>1</v>
      </c>
      <c r="BY17" s="33">
        <f t="shared" si="14"/>
        <v>3</v>
      </c>
      <c r="CB17" s="165">
        <v>14</v>
      </c>
      <c r="CC17" s="32">
        <v>0</v>
      </c>
      <c r="CD17" s="32">
        <f>MEDIAN(3,3,3,3,3,3,3,3,3,2,3)</f>
        <v>3</v>
      </c>
      <c r="CE17" s="32">
        <v>2</v>
      </c>
      <c r="CF17" s="32">
        <v>2</v>
      </c>
      <c r="CG17" s="33">
        <f t="shared" si="15"/>
        <v>7</v>
      </c>
      <c r="CJ17" s="165">
        <v>14</v>
      </c>
      <c r="CK17" s="32">
        <v>1</v>
      </c>
      <c r="CL17" s="32">
        <f>MEDIAN(2,3,2,2,3,3,2)</f>
        <v>2</v>
      </c>
      <c r="CM17" s="32">
        <v>3</v>
      </c>
      <c r="CN17" s="32">
        <v>2</v>
      </c>
      <c r="CO17" s="33">
        <f t="shared" si="16"/>
        <v>8</v>
      </c>
      <c r="CP17" s="32">
        <f>MEDIAN(2,3,2,2,3,3,2)</f>
        <v>2</v>
      </c>
      <c r="CQ17" s="75">
        <f t="shared" si="17"/>
        <v>8</v>
      </c>
      <c r="CS17" s="165">
        <v>14</v>
      </c>
      <c r="CT17" s="32">
        <v>1</v>
      </c>
      <c r="CU17" s="32">
        <f>MEDIAN(2,2,2,2)</f>
        <v>2</v>
      </c>
      <c r="CV17" s="32">
        <v>2</v>
      </c>
      <c r="CW17" s="32">
        <v>2</v>
      </c>
      <c r="CX17" s="33">
        <f t="shared" si="18"/>
        <v>7</v>
      </c>
      <c r="CY17" s="32">
        <f>MEDIAN(2,2,2,2)</f>
        <v>2</v>
      </c>
      <c r="CZ17" s="75">
        <f t="shared" si="19"/>
        <v>7</v>
      </c>
      <c r="DB17" s="165">
        <v>14</v>
      </c>
      <c r="DC17" s="32">
        <v>1</v>
      </c>
      <c r="DD17" s="32">
        <f>AVERAGE(3,3,2,2,3,3)</f>
        <v>2.6666666666666665</v>
      </c>
      <c r="DE17" s="32">
        <v>2</v>
      </c>
      <c r="DF17" s="32">
        <v>2</v>
      </c>
      <c r="DG17" s="33">
        <f t="shared" si="20"/>
        <v>7.6666666666666661</v>
      </c>
      <c r="DH17" s="32">
        <f>MEDIAN(3,3,2,2,3,3)</f>
        <v>3</v>
      </c>
      <c r="DI17" s="75">
        <f t="shared" si="21"/>
        <v>8</v>
      </c>
      <c r="DK17" s="165">
        <v>14</v>
      </c>
      <c r="DL17" s="32">
        <v>0</v>
      </c>
      <c r="DM17" s="32">
        <f>AVERAGE(3,2,3,1,2,2,2,3,3,2)</f>
        <v>2.2999999999999998</v>
      </c>
      <c r="DN17" s="32">
        <v>3</v>
      </c>
      <c r="DO17" s="32">
        <v>1</v>
      </c>
      <c r="DP17" s="33">
        <f t="shared" si="22"/>
        <v>6.3</v>
      </c>
      <c r="DQ17" s="32">
        <f>MEDIAN(3,2,3,1,2,2,2,3,3,2)</f>
        <v>2</v>
      </c>
      <c r="DR17" s="75">
        <f t="shared" si="23"/>
        <v>6</v>
      </c>
      <c r="DT17" s="165">
        <v>14</v>
      </c>
      <c r="DU17" s="32">
        <v>1</v>
      </c>
      <c r="DV17" s="32">
        <f>AVERAGE(2,2,2,3,2,2,2,2,2,3,3)</f>
        <v>2.2727272727272729</v>
      </c>
      <c r="DW17" s="32">
        <v>3</v>
      </c>
      <c r="DX17" s="32">
        <v>1</v>
      </c>
      <c r="DY17" s="33">
        <f t="shared" si="24"/>
        <v>7.2727272727272734</v>
      </c>
      <c r="DZ17" s="32">
        <f>MEDIAN(2,2,2,3,2,2,2,2,2,3,3)</f>
        <v>2</v>
      </c>
      <c r="EA17" s="75">
        <f t="shared" si="25"/>
        <v>7</v>
      </c>
      <c r="EC17" s="165">
        <v>14</v>
      </c>
      <c r="ED17" s="32">
        <v>1</v>
      </c>
      <c r="EE17" s="32">
        <f>AVERAGE(3,3,3,2,3,2,2,3)</f>
        <v>2.625</v>
      </c>
      <c r="EF17" s="32">
        <v>2</v>
      </c>
      <c r="EG17" s="32">
        <v>1</v>
      </c>
      <c r="EH17" s="33">
        <f t="shared" si="26"/>
        <v>6.625</v>
      </c>
      <c r="EI17" s="32">
        <f>MEDIAN(3,3,3,2,3,2,2,3)</f>
        <v>3</v>
      </c>
      <c r="EJ17" s="75">
        <f t="shared" si="27"/>
        <v>7</v>
      </c>
      <c r="EL17" s="165">
        <v>14</v>
      </c>
      <c r="EM17" s="32">
        <v>0</v>
      </c>
      <c r="EN17" s="32">
        <f>AVERAGE(3,2,2,2)</f>
        <v>2.25</v>
      </c>
      <c r="EO17" s="32">
        <v>1</v>
      </c>
      <c r="EP17" s="32">
        <v>0</v>
      </c>
      <c r="EQ17" s="33">
        <f t="shared" si="28"/>
        <v>3.25</v>
      </c>
      <c r="ER17" s="197">
        <f>MEDIAN(3,2,2,2)</f>
        <v>2</v>
      </c>
      <c r="ES17">
        <f t="shared" si="29"/>
        <v>3</v>
      </c>
      <c r="EU17" s="165">
        <v>14</v>
      </c>
      <c r="EV17" s="32">
        <v>1</v>
      </c>
      <c r="EW17" s="32">
        <f>AVERAGE(2,3,2,3,3,2,3,2,2,3,2,2)</f>
        <v>2.4166666666666665</v>
      </c>
      <c r="EX17" s="32">
        <v>1</v>
      </c>
      <c r="EY17" s="32">
        <v>0</v>
      </c>
      <c r="EZ17" s="33">
        <f t="shared" si="30"/>
        <v>4.4166666666666661</v>
      </c>
      <c r="FA17" s="197">
        <f>MEDIAN(2,3,2,3,3,2,3,2,2,3,2,2)</f>
        <v>2</v>
      </c>
      <c r="FB17">
        <f t="shared" si="31"/>
        <v>4</v>
      </c>
      <c r="FD17" s="165">
        <v>14</v>
      </c>
      <c r="FE17" s="32">
        <v>0</v>
      </c>
      <c r="FF17" s="32">
        <f>AVERAGE(3,3,2)</f>
        <v>2.6666666666666665</v>
      </c>
      <c r="FG17" s="32">
        <v>1</v>
      </c>
      <c r="FH17" s="32">
        <v>0</v>
      </c>
      <c r="FI17" s="33">
        <f t="shared" si="32"/>
        <v>3.6666666666666665</v>
      </c>
      <c r="FJ17" s="197">
        <f>MEDIAN(3,3,2)</f>
        <v>3</v>
      </c>
      <c r="FK17">
        <f t="shared" si="33"/>
        <v>4</v>
      </c>
      <c r="FM17" s="165">
        <v>14</v>
      </c>
      <c r="FN17" s="32">
        <v>1</v>
      </c>
      <c r="FO17" s="32">
        <f>AVERAGE(3,3,2,2,2,2,3,3,2,2)</f>
        <v>2.4</v>
      </c>
      <c r="FP17" s="32">
        <v>2</v>
      </c>
      <c r="FQ17" s="32">
        <v>1</v>
      </c>
      <c r="FR17" s="33">
        <f t="shared" si="34"/>
        <v>6.4</v>
      </c>
      <c r="FS17" s="197">
        <f>MEDIAN(3,3,2,2,2,2,3,3,2,2)</f>
        <v>2</v>
      </c>
      <c r="FT17">
        <f t="shared" si="35"/>
        <v>6</v>
      </c>
      <c r="FV17" s="165">
        <v>14</v>
      </c>
      <c r="FW17" s="32">
        <v>1</v>
      </c>
      <c r="FX17" s="32">
        <f>MEDIAN(2,2,3,2,2,2,2,2,2,3,2,3,3,2)</f>
        <v>2</v>
      </c>
      <c r="FY17" s="32">
        <v>3</v>
      </c>
      <c r="FZ17" s="32">
        <v>1</v>
      </c>
      <c r="GA17" s="33">
        <f t="shared" si="36"/>
        <v>7</v>
      </c>
      <c r="GB17" s="32">
        <f>MEDIAN(2,2,3,2,2,2,2,2,2,3,2,3,3,2)</f>
        <v>2</v>
      </c>
      <c r="GC17">
        <f t="shared" si="37"/>
        <v>7</v>
      </c>
      <c r="GE17" s="165">
        <v>14</v>
      </c>
      <c r="GF17" s="32">
        <v>0</v>
      </c>
      <c r="GG17" s="32">
        <f>MEDIAN(3,3,3,3,3,3,3,3)</f>
        <v>3</v>
      </c>
      <c r="GH17" s="32">
        <v>0</v>
      </c>
      <c r="GI17" s="32">
        <v>0</v>
      </c>
      <c r="GJ17" s="18">
        <f t="shared" si="38"/>
        <v>3</v>
      </c>
      <c r="GK17" s="32">
        <f>MEDIAN(3,3,3,3,3,3,3,3)</f>
        <v>3</v>
      </c>
      <c r="GL17">
        <f t="shared" si="39"/>
        <v>3</v>
      </c>
      <c r="GN17" s="165">
        <v>14</v>
      </c>
      <c r="GO17" s="32">
        <v>1</v>
      </c>
      <c r="GP17" s="32">
        <f>AVERAGE(1,2,2,3,3,3)</f>
        <v>2.3333333333333335</v>
      </c>
      <c r="GQ17" s="32">
        <v>0</v>
      </c>
      <c r="GR17" s="32">
        <v>1</v>
      </c>
      <c r="GS17" s="33">
        <f t="shared" si="40"/>
        <v>4.3333333333333339</v>
      </c>
      <c r="GT17" s="196">
        <f>MEDIAN(1,2,2,3,3,3)</f>
        <v>2.5</v>
      </c>
      <c r="GU17" s="32">
        <f t="shared" si="41"/>
        <v>4.5</v>
      </c>
      <c r="GW17" s="165">
        <v>14</v>
      </c>
      <c r="GX17" s="32">
        <v>1</v>
      </c>
      <c r="GY17" s="32">
        <f>AVERAGE(3,3,2,2,3,2,2,3,3,3,2,3)</f>
        <v>2.5833333333333335</v>
      </c>
      <c r="GZ17" s="32">
        <v>3</v>
      </c>
      <c r="HA17" s="32">
        <v>2</v>
      </c>
      <c r="HB17" s="33">
        <f t="shared" si="42"/>
        <v>8.5833333333333339</v>
      </c>
      <c r="HC17" s="196">
        <f>MEDIAN(3,3,2,2,3,2,2,3,3,3,2,3)</f>
        <v>3</v>
      </c>
      <c r="HD17">
        <f t="shared" si="43"/>
        <v>9</v>
      </c>
      <c r="HF17" s="165">
        <v>14</v>
      </c>
      <c r="HG17" s="32">
        <v>0</v>
      </c>
      <c r="HH17" s="32">
        <f>AVERAGE(2,3,2,2,2,2,2,2,2,2,2,2)</f>
        <v>2.0833333333333335</v>
      </c>
      <c r="HI17" s="32">
        <v>1</v>
      </c>
      <c r="HJ17" s="32">
        <v>1</v>
      </c>
      <c r="HK17" s="33">
        <f t="shared" si="44"/>
        <v>4.0833333333333339</v>
      </c>
      <c r="HL17" s="32">
        <f>MEDIAN(2,3,2,2,2,2,2,2,2,2,2,2)</f>
        <v>2</v>
      </c>
      <c r="HM17">
        <f t="shared" si="45"/>
        <v>4</v>
      </c>
      <c r="HO17" s="165">
        <v>14</v>
      </c>
      <c r="HP17" s="32">
        <v>0</v>
      </c>
      <c r="HQ17" s="32">
        <f>AVERAGE(3,3,2,3,3,3)</f>
        <v>2.8333333333333335</v>
      </c>
      <c r="HR17" s="32">
        <v>2</v>
      </c>
      <c r="HS17" s="32">
        <v>1</v>
      </c>
      <c r="HT17" s="33">
        <f t="shared" si="46"/>
        <v>5.8333333333333339</v>
      </c>
      <c r="HU17" s="32">
        <f>MEDIAN(3,3,2,3,3,3)</f>
        <v>3</v>
      </c>
      <c r="HV17">
        <f t="shared" si="47"/>
        <v>6</v>
      </c>
      <c r="HX17" s="165">
        <v>14</v>
      </c>
      <c r="HY17" s="32">
        <v>0</v>
      </c>
      <c r="HZ17" s="32">
        <f>MEDIAN(3,3,3,2,3,2,3,3,3,3,3,3,3,3,3,3,3,3,3,3)</f>
        <v>3</v>
      </c>
      <c r="IA17" s="32">
        <v>3</v>
      </c>
      <c r="IB17" s="32">
        <v>1</v>
      </c>
      <c r="IC17" s="33">
        <f t="shared" si="48"/>
        <v>7</v>
      </c>
      <c r="ID17" s="32">
        <f>MEDIAN(3,3,3,2,3,2,3,3,3,3,3,3,3,3,3,3,3,3,3,3)</f>
        <v>3</v>
      </c>
      <c r="IE17">
        <f t="shared" si="49"/>
        <v>7</v>
      </c>
      <c r="IG17" s="165">
        <v>14</v>
      </c>
      <c r="IH17" s="32">
        <v>0</v>
      </c>
      <c r="II17" s="32">
        <f>MEDIAN(3,3,3,3,2)</f>
        <v>3</v>
      </c>
      <c r="IJ17" s="32">
        <v>1</v>
      </c>
      <c r="IK17" s="32">
        <v>0</v>
      </c>
      <c r="IL17" s="33">
        <f t="shared" si="50"/>
        <v>4</v>
      </c>
      <c r="IM17" s="32">
        <f>MEDIAN(3,3,3,3,2)</f>
        <v>3</v>
      </c>
      <c r="IN17">
        <f t="shared" si="51"/>
        <v>4</v>
      </c>
      <c r="IP17" s="165">
        <v>14</v>
      </c>
      <c r="IQ17" s="32">
        <v>0</v>
      </c>
      <c r="IR17" s="32">
        <f>AVERAGE(3,3,3,3,3,3,2,3,3,2,3)</f>
        <v>2.8181818181818183</v>
      </c>
      <c r="IS17" s="32">
        <v>2</v>
      </c>
      <c r="IT17" s="32">
        <v>1</v>
      </c>
      <c r="IU17" s="33">
        <f t="shared" si="52"/>
        <v>5.8181818181818183</v>
      </c>
      <c r="IV17" s="32">
        <f>MEDIAN(3,3,3,3,3,3,2,3,3,2,3)</f>
        <v>3</v>
      </c>
      <c r="IW17">
        <f t="shared" si="53"/>
        <v>6</v>
      </c>
      <c r="IY17" s="165">
        <v>14</v>
      </c>
      <c r="IZ17" s="32">
        <v>0</v>
      </c>
      <c r="JA17" s="32">
        <f>AVERAGE(3,3,3,3,3,3)</f>
        <v>3</v>
      </c>
      <c r="JB17" s="32">
        <v>2</v>
      </c>
      <c r="JC17" s="32">
        <v>1</v>
      </c>
      <c r="JD17" s="33">
        <f t="shared" si="54"/>
        <v>6</v>
      </c>
      <c r="JE17" s="32">
        <f>MEDIAN(3,3,3,3,3,3)</f>
        <v>3</v>
      </c>
      <c r="JF17">
        <f t="shared" si="55"/>
        <v>6</v>
      </c>
      <c r="JH17" s="165">
        <v>14</v>
      </c>
      <c r="JI17" s="32">
        <v>0</v>
      </c>
      <c r="JJ17" s="32">
        <f>MEDIAN(3,2,2,2)</f>
        <v>2</v>
      </c>
      <c r="JK17" s="32">
        <v>3</v>
      </c>
      <c r="JL17" s="32">
        <v>2</v>
      </c>
      <c r="JM17" s="33">
        <f t="shared" si="56"/>
        <v>7</v>
      </c>
      <c r="JN17" s="32">
        <f>MEDIAN(3,2,2,2)</f>
        <v>2</v>
      </c>
      <c r="JO17">
        <f t="shared" si="57"/>
        <v>7</v>
      </c>
      <c r="JQ17" s="165">
        <v>14</v>
      </c>
      <c r="JR17" s="32">
        <v>1</v>
      </c>
      <c r="JS17" s="32">
        <f>MEDIAN(2,3,3)</f>
        <v>3</v>
      </c>
      <c r="JT17" s="32">
        <v>0</v>
      </c>
      <c r="JU17" s="32">
        <v>1</v>
      </c>
      <c r="JV17" s="33">
        <f t="shared" si="58"/>
        <v>5</v>
      </c>
      <c r="JW17" s="32">
        <f>MEDIAN(2,3,3)</f>
        <v>3</v>
      </c>
      <c r="JX17">
        <f t="shared" si="59"/>
        <v>5</v>
      </c>
      <c r="JZ17" s="165">
        <v>14</v>
      </c>
      <c r="KA17" s="32">
        <v>0</v>
      </c>
      <c r="KB17" s="32">
        <f>AVERAGE(3,2,3,3,3,3)</f>
        <v>2.8333333333333335</v>
      </c>
      <c r="KC17" s="32">
        <v>1</v>
      </c>
      <c r="KD17" s="32">
        <v>1</v>
      </c>
      <c r="KE17" s="33">
        <f t="shared" si="60"/>
        <v>4.8333333333333339</v>
      </c>
      <c r="KF17" s="32">
        <f>MEDIAN(3,2,3,3,3,3)</f>
        <v>3</v>
      </c>
      <c r="KG17">
        <f t="shared" si="61"/>
        <v>5</v>
      </c>
      <c r="KI17" s="165">
        <v>14</v>
      </c>
      <c r="KJ17" s="32">
        <v>0</v>
      </c>
      <c r="KK17" s="32">
        <f>AVERAGE(3,3,3,3,2,2,3,3,2)</f>
        <v>2.6666666666666665</v>
      </c>
      <c r="KL17" s="32">
        <v>1</v>
      </c>
      <c r="KM17" s="32">
        <v>0</v>
      </c>
      <c r="KN17" s="33">
        <f t="shared" si="62"/>
        <v>3.6666666666666665</v>
      </c>
      <c r="KO17" s="32">
        <f>MEDIAN(3,3,3,3,2,2,3,3,2)</f>
        <v>3</v>
      </c>
      <c r="KP17">
        <f t="shared" si="63"/>
        <v>4</v>
      </c>
      <c r="KR17" s="165">
        <v>14</v>
      </c>
      <c r="KS17" s="32">
        <v>1</v>
      </c>
      <c r="KT17" s="32">
        <f>AVERAGE(3,3,3,3,2,3,3)</f>
        <v>2.8571428571428572</v>
      </c>
      <c r="KU17" s="32">
        <v>2</v>
      </c>
      <c r="KV17" s="32">
        <v>2</v>
      </c>
      <c r="KW17" s="33">
        <f t="shared" si="64"/>
        <v>7.8571428571428577</v>
      </c>
      <c r="KX17" s="32">
        <f>MEDIAN(3,3,3,3,2,3,3)</f>
        <v>3</v>
      </c>
      <c r="KY17">
        <f t="shared" si="65"/>
        <v>8</v>
      </c>
      <c r="LA17" s="165">
        <v>14</v>
      </c>
      <c r="LB17" s="32">
        <v>3</v>
      </c>
      <c r="LC17" s="32">
        <f>AVERAGE(3,2,3,2,3,3,3,3,3,1,3,2)</f>
        <v>2.5833333333333335</v>
      </c>
      <c r="LD17" s="32">
        <v>2</v>
      </c>
      <c r="LE17" s="32">
        <v>2</v>
      </c>
      <c r="LF17" s="33">
        <f t="shared" si="66"/>
        <v>9.5833333333333339</v>
      </c>
      <c r="LG17" s="32">
        <f>MEDIAN(3,2,3,2,3,3,3,3,3,1,3,2)</f>
        <v>3</v>
      </c>
      <c r="LH17">
        <f t="shared" si="67"/>
        <v>10</v>
      </c>
      <c r="LK17" s="165">
        <v>14</v>
      </c>
      <c r="LL17" s="32">
        <v>0</v>
      </c>
      <c r="LM17" s="32">
        <f>AVERAGE(3,3,3,2,3,3,3,3,3)</f>
        <v>2.8888888888888888</v>
      </c>
      <c r="LN17" s="32">
        <v>3</v>
      </c>
      <c r="LO17" s="32">
        <v>2</v>
      </c>
      <c r="LP17" s="33">
        <f t="shared" si="68"/>
        <v>7.8888888888888893</v>
      </c>
      <c r="LQ17" s="32">
        <f>MEDIAN(3,3,3,2,3,3,3,3,3)</f>
        <v>3</v>
      </c>
      <c r="LR17">
        <f t="shared" si="69"/>
        <v>8</v>
      </c>
      <c r="LT17" s="165">
        <v>14</v>
      </c>
      <c r="LU17" s="32">
        <v>2</v>
      </c>
      <c r="LV17" s="32">
        <f>AVERAGE(3,3,3,3,3,2,2,3,3,3,3)</f>
        <v>2.8181818181818183</v>
      </c>
      <c r="LW17" s="32">
        <v>3</v>
      </c>
      <c r="LX17" s="32">
        <v>1</v>
      </c>
      <c r="LY17" s="33">
        <f t="shared" si="70"/>
        <v>8.8181818181818183</v>
      </c>
      <c r="LZ17" s="32">
        <f>MEDIAN(3,3,3,3,3,2,2,3,3,3,3)</f>
        <v>3</v>
      </c>
      <c r="MA17">
        <f t="shared" si="71"/>
        <v>9</v>
      </c>
      <c r="MC17" s="165">
        <v>14</v>
      </c>
      <c r="MD17" s="32">
        <v>0</v>
      </c>
      <c r="ME17" s="32">
        <f>AVERAGE(3,2,3,2,2,3,3,3,2,2,1,2,2,3,2,3,2,2,2)</f>
        <v>2.3157894736842106</v>
      </c>
      <c r="MF17" s="32">
        <v>1</v>
      </c>
      <c r="MG17" s="32">
        <v>2</v>
      </c>
      <c r="MH17" s="33">
        <f t="shared" si="72"/>
        <v>5.3157894736842106</v>
      </c>
      <c r="MI17" s="32">
        <f>MEDIAN(3,2,3,2,2,3,3,3,2,2,1,2,2,3,2,3,2,2,2)</f>
        <v>2</v>
      </c>
      <c r="MJ17">
        <f t="shared" si="73"/>
        <v>5</v>
      </c>
      <c r="ML17" s="165">
        <v>14</v>
      </c>
      <c r="MM17" s="32">
        <v>1</v>
      </c>
      <c r="MN17" s="32">
        <f>AVERAGE(3,3,3,3,3,3,3,2,3,3,2,3,3,3,3,3,3,3,3,3,3)</f>
        <v>2.9047619047619047</v>
      </c>
      <c r="MO17" s="32">
        <v>3</v>
      </c>
      <c r="MP17" s="32">
        <v>1</v>
      </c>
      <c r="MQ17" s="33">
        <f t="shared" si="74"/>
        <v>7.9047619047619051</v>
      </c>
      <c r="MR17" s="32">
        <f>MEDIAN(3,3,3,3,3,3,3,2,3,3,2,3,3,3,3,3,3,3,3,3,3)</f>
        <v>3</v>
      </c>
      <c r="MS17">
        <f t="shared" si="75"/>
        <v>8</v>
      </c>
      <c r="MU17" s="165">
        <v>14</v>
      </c>
      <c r="MV17" s="32">
        <v>3</v>
      </c>
      <c r="MW17" s="32">
        <f>MEDIAN(3,3,3,2,2,3,3)</f>
        <v>3</v>
      </c>
      <c r="MX17" s="32">
        <v>2</v>
      </c>
      <c r="MY17" s="32">
        <v>2</v>
      </c>
      <c r="MZ17" s="33">
        <f t="shared" si="76"/>
        <v>10</v>
      </c>
      <c r="NA17" s="32">
        <f>MEDIAN(3,3,3,2,2,3,3)</f>
        <v>3</v>
      </c>
      <c r="NB17">
        <f t="shared" si="77"/>
        <v>10</v>
      </c>
      <c r="ND17" s="165">
        <v>14</v>
      </c>
      <c r="NE17" s="32">
        <v>0</v>
      </c>
      <c r="NF17" s="32">
        <f>MEDIAN(3,3,2,2,3)</f>
        <v>3</v>
      </c>
      <c r="NG17" s="32">
        <v>2</v>
      </c>
      <c r="NH17" s="32">
        <v>1</v>
      </c>
      <c r="NI17" s="33">
        <f t="shared" si="78"/>
        <v>6</v>
      </c>
      <c r="NJ17" s="32">
        <f>MEDIAN(3,3,2,2,3)</f>
        <v>3</v>
      </c>
      <c r="NK17">
        <f t="shared" si="79"/>
        <v>6</v>
      </c>
      <c r="NM17" s="165">
        <v>14</v>
      </c>
      <c r="NN17" s="32">
        <v>0</v>
      </c>
      <c r="NO17" s="32">
        <f>AVERAGE(3,3,3,3,3,3,3,3,3,3,3,3,3,3,2,3)</f>
        <v>2.9375</v>
      </c>
      <c r="NP17" s="32">
        <v>0</v>
      </c>
      <c r="NQ17" s="32">
        <v>0</v>
      </c>
      <c r="NR17" s="33">
        <f t="shared" si="80"/>
        <v>2.9375</v>
      </c>
      <c r="NS17" s="32">
        <f>MEDIAN(3,3,3,3,3,3,3,3,3,3,3,3,3,3,2,3)</f>
        <v>3</v>
      </c>
      <c r="NT17">
        <f t="shared" si="81"/>
        <v>3</v>
      </c>
      <c r="NV17" s="165">
        <v>14</v>
      </c>
      <c r="NW17" s="32">
        <v>1</v>
      </c>
      <c r="NX17" s="32">
        <f>AVERAGE(3,3,3,3,3,3,3,3,3,3,2)</f>
        <v>2.9090909090909092</v>
      </c>
      <c r="NY17" s="32">
        <v>3</v>
      </c>
      <c r="NZ17" s="32">
        <v>2</v>
      </c>
      <c r="OA17" s="33">
        <f t="shared" si="82"/>
        <v>8.9090909090909101</v>
      </c>
      <c r="OB17" s="32">
        <f>MEDIAN(3,3,3,3,3,3,3,3,3,3,2)</f>
        <v>3</v>
      </c>
      <c r="OC17">
        <f t="shared" si="83"/>
        <v>9</v>
      </c>
      <c r="OE17" s="165">
        <v>14</v>
      </c>
      <c r="OF17" s="32">
        <v>1</v>
      </c>
      <c r="OG17" s="32">
        <f>MEDIAN(3,2,2,3,2,3,3,3)</f>
        <v>3</v>
      </c>
      <c r="OH17" s="32">
        <v>1</v>
      </c>
      <c r="OI17" s="32">
        <v>0</v>
      </c>
      <c r="OJ17" s="33">
        <f t="shared" si="84"/>
        <v>5</v>
      </c>
      <c r="OK17" s="32">
        <f>MEDIAN(3,2,2,3,2,3,3,3)</f>
        <v>3</v>
      </c>
      <c r="OL17">
        <f t="shared" si="85"/>
        <v>5</v>
      </c>
      <c r="ON17" s="165">
        <v>14</v>
      </c>
      <c r="OO17" s="32">
        <v>1</v>
      </c>
      <c r="OP17" s="32">
        <f>MEDIAN(3,3,3,3,3)</f>
        <v>3</v>
      </c>
      <c r="OQ17" s="32">
        <v>2</v>
      </c>
      <c r="OR17" s="32">
        <v>2</v>
      </c>
      <c r="OS17" s="33">
        <f t="shared" si="86"/>
        <v>8</v>
      </c>
      <c r="OT17" s="32">
        <f>MEDIAN(3,3,3,3,3)</f>
        <v>3</v>
      </c>
      <c r="OU17">
        <f t="shared" si="87"/>
        <v>8</v>
      </c>
      <c r="OW17" s="165">
        <v>14</v>
      </c>
      <c r="OX17" s="32">
        <v>1</v>
      </c>
      <c r="OY17" s="32">
        <f>AVERAGE(2,2,2,1)</f>
        <v>1.75</v>
      </c>
      <c r="OZ17" s="32">
        <v>2</v>
      </c>
      <c r="PA17" s="32">
        <v>1</v>
      </c>
      <c r="PB17" s="33">
        <f t="shared" si="88"/>
        <v>5.75</v>
      </c>
      <c r="PC17" s="32">
        <f>MEDIAN(2,2,2,1)</f>
        <v>2</v>
      </c>
      <c r="PD17">
        <f t="shared" si="89"/>
        <v>6</v>
      </c>
      <c r="PF17" s="165">
        <v>14</v>
      </c>
      <c r="PG17" s="32">
        <v>1</v>
      </c>
      <c r="PH17" s="32">
        <f>AVERAGE(3,3,2)</f>
        <v>2.6666666666666665</v>
      </c>
      <c r="PI17" s="32">
        <v>1</v>
      </c>
      <c r="PJ17" s="32">
        <v>0</v>
      </c>
      <c r="PK17" s="33">
        <f t="shared" si="90"/>
        <v>4.6666666666666661</v>
      </c>
      <c r="PL17" s="32">
        <f>MEDIAN(3,3,2)</f>
        <v>3</v>
      </c>
      <c r="PM17">
        <f t="shared" si="91"/>
        <v>5</v>
      </c>
      <c r="PO17" s="165">
        <v>14</v>
      </c>
      <c r="PP17" s="32">
        <v>0</v>
      </c>
      <c r="PQ17" s="32">
        <f>MEDIAN(1,2,2,2,1,2,1)</f>
        <v>2</v>
      </c>
      <c r="PR17" s="32">
        <v>2</v>
      </c>
      <c r="PS17" s="32">
        <v>0</v>
      </c>
      <c r="PT17" s="33">
        <f t="shared" si="92"/>
        <v>4</v>
      </c>
      <c r="PV17" s="165">
        <v>14</v>
      </c>
      <c r="PW17" s="32">
        <v>1</v>
      </c>
      <c r="PX17" s="32">
        <f>MEDIAN(3,3,2,3,2,3)</f>
        <v>3</v>
      </c>
      <c r="PY17" s="32">
        <v>1</v>
      </c>
      <c r="PZ17" s="32">
        <v>1</v>
      </c>
      <c r="QA17" s="33">
        <f t="shared" si="93"/>
        <v>6</v>
      </c>
      <c r="QB17" s="32">
        <f>MEDIAN(3,3,2,3,2,3)</f>
        <v>3</v>
      </c>
      <c r="QC17">
        <f t="shared" si="94"/>
        <v>6</v>
      </c>
      <c r="QE17" s="165">
        <v>14</v>
      </c>
      <c r="QF17" s="32">
        <v>1</v>
      </c>
      <c r="QG17" s="32">
        <f>MEDIAN(2,3,2,3,3,2,3,3,3,2,3)</f>
        <v>3</v>
      </c>
      <c r="QH17" s="32">
        <v>3</v>
      </c>
      <c r="QI17" s="32">
        <v>2</v>
      </c>
      <c r="QJ17" s="33">
        <f t="shared" si="95"/>
        <v>9</v>
      </c>
      <c r="QK17" s="32">
        <f>MEDIAN(2,3,2,3,3,2,3,3,3,2,3)</f>
        <v>3</v>
      </c>
      <c r="QL17">
        <f t="shared" si="96"/>
        <v>9</v>
      </c>
      <c r="QN17" s="165">
        <v>14</v>
      </c>
      <c r="QO17" s="32">
        <v>0</v>
      </c>
      <c r="QP17" s="32">
        <f>MEDIAN(3,3,3,3,2,3,3,2)</f>
        <v>3</v>
      </c>
      <c r="QQ17" s="32">
        <v>1</v>
      </c>
      <c r="QR17" s="32">
        <v>1</v>
      </c>
      <c r="QS17" s="33">
        <f t="shared" si="97"/>
        <v>5</v>
      </c>
      <c r="QT17" s="32">
        <f>MEDIAN(3,3,3,3,2,3,3,2)</f>
        <v>3</v>
      </c>
      <c r="QU17">
        <f t="shared" si="98"/>
        <v>5</v>
      </c>
      <c r="QW17" s="165">
        <v>14</v>
      </c>
      <c r="QX17" s="32">
        <v>0</v>
      </c>
      <c r="QY17" s="32">
        <f>AVERAGE(3,3,3,3,3,3,2)</f>
        <v>2.8571428571428572</v>
      </c>
      <c r="QZ17" s="32">
        <v>3</v>
      </c>
      <c r="RA17" s="32">
        <v>1</v>
      </c>
      <c r="RB17" s="33">
        <f t="shared" si="99"/>
        <v>6.8571428571428577</v>
      </c>
      <c r="RC17" s="32">
        <f>MEDIAN(3,3,3,3,3,3,2)</f>
        <v>3</v>
      </c>
      <c r="RD17">
        <f t="shared" si="100"/>
        <v>7</v>
      </c>
      <c r="RF17" s="165">
        <v>14</v>
      </c>
      <c r="RG17" s="32">
        <v>1</v>
      </c>
      <c r="RH17" s="32">
        <f>AVERAGE(3,2,3,3,3,3,2,3,3,2,3,3,3)</f>
        <v>2.7692307692307692</v>
      </c>
      <c r="RI17" s="32">
        <v>0</v>
      </c>
      <c r="RJ17" s="32">
        <v>1</v>
      </c>
      <c r="RK17" s="33">
        <f t="shared" si="101"/>
        <v>4.7692307692307692</v>
      </c>
      <c r="RL17" s="32">
        <f>MEDIAN(3,2,3,3,3,3,2,3,3,2,3,3,3)</f>
        <v>3</v>
      </c>
      <c r="RM17">
        <f t="shared" si="102"/>
        <v>5</v>
      </c>
      <c r="RO17" s="165">
        <v>14</v>
      </c>
      <c r="RP17" s="32">
        <v>1</v>
      </c>
      <c r="RQ17" s="32">
        <f>AVERAGE(3,3,2,3,2,3,2,2,3,3,2,2,3,2)</f>
        <v>2.5</v>
      </c>
      <c r="RR17" s="32">
        <v>1</v>
      </c>
      <c r="RS17" s="32">
        <v>1</v>
      </c>
      <c r="RT17" s="33">
        <f t="shared" si="103"/>
        <v>5.5</v>
      </c>
      <c r="RU17" s="32">
        <f>MEDIAN(3,3,2,3,2,3,2,2,3,3,2,2,3,2)</f>
        <v>2.5</v>
      </c>
      <c r="RV17">
        <f t="shared" si="104"/>
        <v>5.5</v>
      </c>
      <c r="RX17" s="165">
        <v>14</v>
      </c>
      <c r="RY17" s="32">
        <v>1</v>
      </c>
      <c r="RZ17" s="32">
        <f>AVERAGE(3,2,3)</f>
        <v>2.6666666666666665</v>
      </c>
      <c r="SA17" s="32">
        <v>1</v>
      </c>
      <c r="SB17" s="32">
        <v>1</v>
      </c>
      <c r="SC17" s="33">
        <f t="shared" si="105"/>
        <v>5.6666666666666661</v>
      </c>
      <c r="SD17" s="32">
        <f>MEDIAN(3,2,3)</f>
        <v>3</v>
      </c>
      <c r="SE17">
        <f t="shared" si="106"/>
        <v>6</v>
      </c>
      <c r="SG17" s="165">
        <v>14</v>
      </c>
      <c r="SH17" s="32">
        <v>0</v>
      </c>
      <c r="SI17" s="32">
        <f>MEDIAN(3,3,3,3,3,3,3,3,2,2,2)</f>
        <v>3</v>
      </c>
      <c r="SJ17" s="32">
        <v>3</v>
      </c>
      <c r="SK17" s="32">
        <v>2</v>
      </c>
      <c r="SL17" s="33">
        <f t="shared" si="107"/>
        <v>8</v>
      </c>
      <c r="SM17" s="32">
        <f>MEDIAN(3,3,3,3,3,3,3,3,2,2,2)</f>
        <v>3</v>
      </c>
      <c r="SN17">
        <f t="shared" si="108"/>
        <v>8</v>
      </c>
      <c r="SP17" s="165">
        <v>14</v>
      </c>
      <c r="SQ17" s="32">
        <v>1</v>
      </c>
      <c r="SR17" s="32">
        <f>MEDIAN(3,3,3,2,3,2,2,3,2,3,3,2)</f>
        <v>3</v>
      </c>
      <c r="SS17" s="32">
        <v>0</v>
      </c>
      <c r="ST17" s="32">
        <v>0</v>
      </c>
      <c r="SU17" s="33">
        <f t="shared" si="109"/>
        <v>4</v>
      </c>
      <c r="SV17" s="32">
        <f>MEDIAN(3,3,3,2,3,2,2,3,2,3,3,2)</f>
        <v>3</v>
      </c>
      <c r="SW17">
        <f t="shared" si="110"/>
        <v>4</v>
      </c>
      <c r="SY17" s="165">
        <v>14</v>
      </c>
      <c r="SZ17" s="32">
        <v>1</v>
      </c>
      <c r="TA17" s="32">
        <f>AVERAGE(2,2,2,2,2)</f>
        <v>2</v>
      </c>
      <c r="TB17" s="32">
        <v>2</v>
      </c>
      <c r="TC17" s="32">
        <v>1</v>
      </c>
      <c r="TD17" s="33">
        <f t="shared" si="111"/>
        <v>6</v>
      </c>
      <c r="TE17" s="32">
        <f>MEDIAN(2,2,2,2,2)</f>
        <v>2</v>
      </c>
      <c r="TF17">
        <f t="shared" si="112"/>
        <v>6</v>
      </c>
      <c r="TH17" s="165">
        <v>14</v>
      </c>
      <c r="TI17" s="32">
        <v>2</v>
      </c>
      <c r="TJ17" s="32">
        <f>MEDIAN(2,3,3,2,3,2,3,3)</f>
        <v>3</v>
      </c>
      <c r="TK17" s="32">
        <v>3</v>
      </c>
      <c r="TL17" s="32">
        <v>3</v>
      </c>
      <c r="TM17" s="33">
        <f t="shared" si="113"/>
        <v>11</v>
      </c>
      <c r="TN17" s="32">
        <f>MEDIAN(2,3,3,2,3,2,3,3)</f>
        <v>3</v>
      </c>
      <c r="TO17">
        <f t="shared" si="114"/>
        <v>11</v>
      </c>
      <c r="TQ17" s="165">
        <v>14</v>
      </c>
      <c r="TR17" s="32">
        <v>2</v>
      </c>
      <c r="TS17" s="32">
        <f>MEDIAN(3,3,3,3,3,2,2,2,2,3,2,2,3)</f>
        <v>3</v>
      </c>
      <c r="TT17" s="32">
        <v>3</v>
      </c>
      <c r="TU17" s="32">
        <v>2</v>
      </c>
      <c r="TV17" s="33">
        <f t="shared" si="115"/>
        <v>10</v>
      </c>
      <c r="TX17" s="165">
        <v>14</v>
      </c>
      <c r="TY17" s="32">
        <v>2</v>
      </c>
      <c r="TZ17" s="32">
        <f>MEDIAN(3,2)</f>
        <v>2.5</v>
      </c>
      <c r="UA17" s="32">
        <v>2</v>
      </c>
      <c r="UB17" s="32">
        <v>0</v>
      </c>
      <c r="UC17" s="33">
        <f t="shared" si="116"/>
        <v>6.5</v>
      </c>
      <c r="UD17" s="32">
        <f>MEDIAN(3,2)</f>
        <v>2.5</v>
      </c>
      <c r="UE17">
        <f t="shared" si="117"/>
        <v>6.5</v>
      </c>
      <c r="UG17" s="165">
        <v>14</v>
      </c>
      <c r="UH17" s="32">
        <v>1</v>
      </c>
      <c r="UI17" s="32">
        <f>MEDIAN(3,3,3,2,2,2)</f>
        <v>2.5</v>
      </c>
      <c r="UJ17" s="32">
        <v>1</v>
      </c>
      <c r="UK17" s="32">
        <v>0</v>
      </c>
      <c r="UL17" s="33">
        <f t="shared" si="118"/>
        <v>4.5</v>
      </c>
      <c r="UN17" s="165">
        <v>14</v>
      </c>
      <c r="UO17" s="32">
        <v>0</v>
      </c>
      <c r="UP17" s="32">
        <f>AVERAGE(3,2,2,3,3,2,3)</f>
        <v>2.5714285714285716</v>
      </c>
      <c r="UQ17" s="32">
        <v>3</v>
      </c>
      <c r="UR17" s="32">
        <v>3</v>
      </c>
      <c r="US17" s="33">
        <f t="shared" si="119"/>
        <v>8.5714285714285712</v>
      </c>
      <c r="UT17" s="32">
        <f>MEDIAN(3,2,2,3,3,2,3)</f>
        <v>3</v>
      </c>
      <c r="UU17">
        <f t="shared" si="120"/>
        <v>9</v>
      </c>
      <c r="UW17" s="165">
        <v>14</v>
      </c>
      <c r="UX17" s="32">
        <v>1</v>
      </c>
      <c r="UY17" s="32">
        <f>AVERAGE(3,2,3,3,3,3,3,2)</f>
        <v>2.75</v>
      </c>
      <c r="UZ17" s="32">
        <v>3</v>
      </c>
      <c r="VA17" s="32">
        <v>2</v>
      </c>
      <c r="VB17" s="33">
        <f t="shared" si="121"/>
        <v>8.75</v>
      </c>
      <c r="VC17" s="32">
        <f>MEDIAN(3,2,3,3,3,3,3,2)</f>
        <v>3</v>
      </c>
      <c r="VD17">
        <f t="shared" si="122"/>
        <v>9</v>
      </c>
      <c r="VF17" s="165">
        <v>14</v>
      </c>
      <c r="VG17" s="32">
        <v>2</v>
      </c>
      <c r="VH17" s="32">
        <f>AVERAGE(3,3,3,3,3,3)</f>
        <v>3</v>
      </c>
      <c r="VI17" s="32">
        <v>2</v>
      </c>
      <c r="VJ17" s="32">
        <v>2</v>
      </c>
      <c r="VK17" s="33">
        <f t="shared" si="123"/>
        <v>9</v>
      </c>
      <c r="VL17" s="32">
        <f>MEDIAN(3,3,3,3,3,3)</f>
        <v>3</v>
      </c>
      <c r="VM17">
        <f t="shared" si="124"/>
        <v>9</v>
      </c>
      <c r="VO17" s="165">
        <v>14</v>
      </c>
      <c r="VP17" s="32">
        <v>1</v>
      </c>
      <c r="VQ17" s="32">
        <f>AVERAGE(3,3,3,3,3,2,3)</f>
        <v>2.8571428571428572</v>
      </c>
      <c r="VR17" s="32">
        <v>0</v>
      </c>
      <c r="VS17" s="32">
        <v>0</v>
      </c>
      <c r="VT17" s="33">
        <f t="shared" si="125"/>
        <v>3.8571428571428572</v>
      </c>
      <c r="VU17" s="32">
        <f>MEDIAN(3,3,3,3,3,2,3)</f>
        <v>3</v>
      </c>
      <c r="VV17">
        <f t="shared" si="126"/>
        <v>4</v>
      </c>
    </row>
    <row r="18" spans="2:594" ht="15" thickBot="1" x14ac:dyDescent="0.4">
      <c r="B18" s="199">
        <v>15</v>
      </c>
      <c r="C18" s="200">
        <v>1</v>
      </c>
      <c r="D18" s="49">
        <f>AVERAGE(2,2,2,2,2,2,2,2,2,2,2,2)</f>
        <v>2</v>
      </c>
      <c r="E18" s="200">
        <v>1</v>
      </c>
      <c r="F18" s="200">
        <v>1</v>
      </c>
      <c r="G18" s="201">
        <f t="shared" si="0"/>
        <v>5</v>
      </c>
      <c r="H18" s="49">
        <f>MEDIAN(2,2,2,2,2,2,2,2,2,2,2,2)</f>
        <v>2</v>
      </c>
      <c r="I18" s="75">
        <f t="shared" si="1"/>
        <v>5</v>
      </c>
      <c r="K18" s="191">
        <v>15</v>
      </c>
      <c r="L18" s="53">
        <v>1</v>
      </c>
      <c r="M18" s="49">
        <f>AVERAGE(2,2,2,3,2,2,3)</f>
        <v>2.2857142857142856</v>
      </c>
      <c r="N18" s="53">
        <v>3</v>
      </c>
      <c r="O18" s="202">
        <v>2</v>
      </c>
      <c r="P18" s="205">
        <f t="shared" si="2"/>
        <v>8.2857142857142847</v>
      </c>
      <c r="Q18" s="49">
        <f>MEDIAN(2,2,2,3,2,2,3)</f>
        <v>2</v>
      </c>
      <c r="R18" s="75">
        <f t="shared" si="3"/>
        <v>8</v>
      </c>
      <c r="T18" s="191">
        <v>15</v>
      </c>
      <c r="U18" s="53">
        <v>1</v>
      </c>
      <c r="V18" s="53">
        <f>AVERAGE(3,2,3,2,3,3,2,3,3,3,3,2,3)</f>
        <v>2.6923076923076925</v>
      </c>
      <c r="W18" s="53">
        <v>1</v>
      </c>
      <c r="X18" s="53">
        <v>1</v>
      </c>
      <c r="Y18" s="53">
        <f>MEDIAN(3,2,3,2,3,3,2,3,3,3,3,2,3)</f>
        <v>3</v>
      </c>
      <c r="Z18" s="18">
        <f t="shared" si="4"/>
        <v>6</v>
      </c>
      <c r="AB18" s="199">
        <v>15</v>
      </c>
      <c r="AC18" s="200">
        <v>2</v>
      </c>
      <c r="AD18" s="200">
        <f>AVERAGE(2,3,3,2,2)</f>
        <v>2.4</v>
      </c>
      <c r="AE18" s="200">
        <v>3</v>
      </c>
      <c r="AF18" s="200">
        <v>3</v>
      </c>
      <c r="AG18" s="200">
        <f>MEDIAN(2,3,3,2,2)</f>
        <v>2</v>
      </c>
      <c r="AH18" s="18">
        <f t="shared" si="5"/>
        <v>10</v>
      </c>
      <c r="AJ18" s="191">
        <v>15</v>
      </c>
      <c r="AK18" s="53">
        <v>1</v>
      </c>
      <c r="AL18" s="53">
        <f>AVERAGE(3,3,2,2,2,2,3,3,3,3,2)</f>
        <v>2.5454545454545454</v>
      </c>
      <c r="AM18" s="53">
        <v>2</v>
      </c>
      <c r="AN18" s="53">
        <v>2</v>
      </c>
      <c r="AO18" s="71">
        <f t="shared" si="6"/>
        <v>7.545454545454545</v>
      </c>
      <c r="AP18" s="53">
        <f>MEDIAN(3,3,2,2,2,2,3,3,3,3,2)</f>
        <v>3</v>
      </c>
      <c r="AQ18" s="75">
        <f t="shared" si="7"/>
        <v>8</v>
      </c>
      <c r="AS18" s="199">
        <v>15</v>
      </c>
      <c r="AT18" s="200">
        <v>1</v>
      </c>
      <c r="AU18" s="200">
        <f>AVERAGE(3,3,3,3,3,2)</f>
        <v>2.8333333333333335</v>
      </c>
      <c r="AV18" s="200">
        <v>2</v>
      </c>
      <c r="AW18" s="200">
        <v>1</v>
      </c>
      <c r="AX18" s="201">
        <f t="shared" si="8"/>
        <v>6.8333333333333339</v>
      </c>
      <c r="AY18" s="200">
        <f>MEDIAN(3,3,3,3,3,2)</f>
        <v>3</v>
      </c>
      <c r="AZ18" s="75">
        <f t="shared" si="9"/>
        <v>7</v>
      </c>
      <c r="BB18" s="199">
        <v>15</v>
      </c>
      <c r="BC18" s="200">
        <v>0</v>
      </c>
      <c r="BD18" s="200">
        <f>MEDIAN(3,2,3,3,3,2)</f>
        <v>3</v>
      </c>
      <c r="BE18" s="200" t="s">
        <v>31</v>
      </c>
      <c r="BF18" s="200">
        <v>2</v>
      </c>
      <c r="BG18" s="205">
        <f t="shared" si="127"/>
        <v>6.6666666666666661</v>
      </c>
      <c r="BH18" s="200">
        <f>MEDIAN(3,2,3,3,3,2)</f>
        <v>3</v>
      </c>
      <c r="BI18" s="75">
        <f t="shared" si="11"/>
        <v>5</v>
      </c>
      <c r="BK18" s="191">
        <v>15</v>
      </c>
      <c r="BL18" s="53">
        <v>1</v>
      </c>
      <c r="BM18" s="49">
        <f>MEDIAN(2,3,3,2,2,2,2,3,2,2,3,3,3,2,2)</f>
        <v>2</v>
      </c>
      <c r="BN18" s="53">
        <v>1</v>
      </c>
      <c r="BO18" s="53">
        <v>0</v>
      </c>
      <c r="BP18" s="71">
        <f t="shared" si="12"/>
        <v>4</v>
      </c>
      <c r="BQ18" s="49">
        <f>MEDIAN(2,3,3,2,2,2,2,3,2,2,3,3,3,2,2)</f>
        <v>2</v>
      </c>
      <c r="BR18" s="75">
        <f t="shared" si="13"/>
        <v>4</v>
      </c>
      <c r="BT18" s="199">
        <v>15</v>
      </c>
      <c r="BU18" s="200">
        <v>0</v>
      </c>
      <c r="BV18" s="200">
        <f>MEDIAN(2,2,2,2,2,2)</f>
        <v>2</v>
      </c>
      <c r="BW18" s="200">
        <v>0</v>
      </c>
      <c r="BX18" s="200">
        <v>1</v>
      </c>
      <c r="BY18" s="201">
        <f t="shared" si="14"/>
        <v>3</v>
      </c>
      <c r="CB18" s="199">
        <v>15</v>
      </c>
      <c r="CC18" s="200">
        <v>0</v>
      </c>
      <c r="CD18" s="200">
        <f>MEDIAN(2,3,3,3,3,2,2,2,3,1,3)</f>
        <v>3</v>
      </c>
      <c r="CE18" s="200">
        <v>2</v>
      </c>
      <c r="CF18" s="200">
        <v>1</v>
      </c>
      <c r="CG18" s="201">
        <f t="shared" si="15"/>
        <v>6</v>
      </c>
      <c r="CJ18" s="199">
        <v>15</v>
      </c>
      <c r="CK18" s="200">
        <v>0</v>
      </c>
      <c r="CL18" s="200">
        <f>MEDIAN(2,2,2,2)</f>
        <v>2</v>
      </c>
      <c r="CM18" s="200">
        <v>2</v>
      </c>
      <c r="CN18" s="200">
        <v>2</v>
      </c>
      <c r="CO18" s="201">
        <f t="shared" si="16"/>
        <v>6</v>
      </c>
      <c r="CP18" s="200">
        <f>MEDIAN(2,2,2,2)</f>
        <v>2</v>
      </c>
      <c r="CQ18" s="75">
        <f t="shared" si="17"/>
        <v>6</v>
      </c>
      <c r="CS18" s="199">
        <v>15</v>
      </c>
      <c r="CT18" s="200">
        <v>3</v>
      </c>
      <c r="CU18" s="200">
        <f>MEDIAN(2,2,2,2,2,2,2,2,2,2,2,2,3,3)</f>
        <v>2</v>
      </c>
      <c r="CV18" s="200">
        <v>3</v>
      </c>
      <c r="CW18" s="200">
        <v>2</v>
      </c>
      <c r="CX18" s="201">
        <f t="shared" si="18"/>
        <v>10</v>
      </c>
      <c r="CY18" s="200">
        <f>MEDIAN(2,2,2,2,2,2,2,2,2,2,2,2,3,3)</f>
        <v>2</v>
      </c>
      <c r="CZ18" s="75">
        <f t="shared" si="19"/>
        <v>10</v>
      </c>
      <c r="DB18" s="191">
        <v>15</v>
      </c>
      <c r="DC18" s="53">
        <v>1</v>
      </c>
      <c r="DD18" s="49">
        <f>AVERAGE(3,2,3,3,3,3,2,3,3,3,3,2,3,3,3,3)</f>
        <v>2.8125</v>
      </c>
      <c r="DE18" s="53">
        <v>3</v>
      </c>
      <c r="DF18" s="53">
        <v>1</v>
      </c>
      <c r="DG18" s="71">
        <f t="shared" si="20"/>
        <v>7.8125</v>
      </c>
      <c r="DH18" s="49">
        <f>MEDIAN(3,2,3,3,3,3,2,3,3,3,3,2,3,3,3,3)</f>
        <v>3</v>
      </c>
      <c r="DI18" s="75">
        <f t="shared" si="21"/>
        <v>8</v>
      </c>
      <c r="DK18" s="191">
        <v>15</v>
      </c>
      <c r="DL18" s="53">
        <v>0</v>
      </c>
      <c r="DM18" s="49">
        <f>AVERAGE(2,2,2,2,3,3,2,2,2,2,3,2)</f>
        <v>2.25</v>
      </c>
      <c r="DN18" s="53">
        <v>3</v>
      </c>
      <c r="DO18" s="53">
        <v>2</v>
      </c>
      <c r="DP18" s="71">
        <f t="shared" si="22"/>
        <v>7.25</v>
      </c>
      <c r="DQ18" s="49">
        <f>MEDIAN(2,2,2,2,3,3,2,2,2,2,3,2)</f>
        <v>2</v>
      </c>
      <c r="DR18" s="75">
        <f t="shared" si="23"/>
        <v>7</v>
      </c>
      <c r="DT18" s="191">
        <v>15</v>
      </c>
      <c r="DU18" s="53">
        <v>1</v>
      </c>
      <c r="DV18" s="49">
        <f>AVERAGE(2,3,2,2,2,2)</f>
        <v>2.1666666666666665</v>
      </c>
      <c r="DW18" s="53">
        <v>3</v>
      </c>
      <c r="DX18" s="53">
        <v>1</v>
      </c>
      <c r="DY18" s="71">
        <f t="shared" si="24"/>
        <v>7.1666666666666661</v>
      </c>
      <c r="DZ18" s="49">
        <f>MEDIAN(2,3,2,2,2,2)</f>
        <v>2</v>
      </c>
      <c r="EA18" s="75">
        <f t="shared" si="25"/>
        <v>7</v>
      </c>
      <c r="EC18" s="191">
        <v>15</v>
      </c>
      <c r="ED18" s="53">
        <v>1</v>
      </c>
      <c r="EE18" s="49">
        <f>AVERAGE(3,3,2,3,3,2,2,3)</f>
        <v>2.625</v>
      </c>
      <c r="EF18" s="53">
        <v>2</v>
      </c>
      <c r="EG18" s="53">
        <v>1</v>
      </c>
      <c r="EH18" s="71">
        <f t="shared" si="26"/>
        <v>6.625</v>
      </c>
      <c r="EI18" s="49">
        <f>MEDIAN(3,3,2,3,3,2,2,3)</f>
        <v>3</v>
      </c>
      <c r="EJ18" s="75">
        <f t="shared" si="27"/>
        <v>7</v>
      </c>
      <c r="EL18" s="199">
        <v>15</v>
      </c>
      <c r="EM18" s="200">
        <v>2</v>
      </c>
      <c r="EN18" s="200">
        <f>AVERAGE(3,2,3,2,2,3,3,3,2,2,2,3,2,2,2,2)</f>
        <v>2.375</v>
      </c>
      <c r="EO18" s="200">
        <v>3</v>
      </c>
      <c r="EP18" s="200">
        <v>1</v>
      </c>
      <c r="EQ18" s="201">
        <f t="shared" si="28"/>
        <v>8.375</v>
      </c>
      <c r="ER18" s="203">
        <f>MEDIAN(3,2,3,2,2,3,3,3,2,2,2,3,2,2,2,2)</f>
        <v>2</v>
      </c>
      <c r="ES18">
        <f t="shared" si="29"/>
        <v>8</v>
      </c>
      <c r="EU18" s="199">
        <v>15</v>
      </c>
      <c r="EV18" s="200">
        <v>0</v>
      </c>
      <c r="EW18" s="200">
        <f>AVERAGE(2,2,2,2,1,3,2,3,2,2,2,2,3,2)</f>
        <v>2.1428571428571428</v>
      </c>
      <c r="EX18" s="200">
        <v>1</v>
      </c>
      <c r="EY18" s="200">
        <v>1</v>
      </c>
      <c r="EZ18" s="201">
        <f t="shared" si="30"/>
        <v>4.1428571428571423</v>
      </c>
      <c r="FA18" s="203">
        <f>MEDIAN(2,2,2,2,1,3,2,3,2,2,2,2,3,2)</f>
        <v>2</v>
      </c>
      <c r="FB18">
        <f t="shared" si="31"/>
        <v>4</v>
      </c>
      <c r="FD18" s="199">
        <v>15</v>
      </c>
      <c r="FE18" s="200">
        <v>1</v>
      </c>
      <c r="FF18" s="200">
        <f>AVERAGE(3,2,2,2,2,3,3,2,3,3,3,2,2,2,2)</f>
        <v>2.4</v>
      </c>
      <c r="FG18" s="200">
        <v>2</v>
      </c>
      <c r="FH18" s="200">
        <v>1</v>
      </c>
      <c r="FI18" s="201">
        <f t="shared" si="32"/>
        <v>6.4</v>
      </c>
      <c r="FJ18" s="203">
        <f>MEDIAN(3,2,2,2,2,3,3,2,3,3,3,2,2,2,2)</f>
        <v>2</v>
      </c>
      <c r="FK18">
        <f t="shared" si="33"/>
        <v>6</v>
      </c>
      <c r="FM18" s="199">
        <v>15</v>
      </c>
      <c r="FN18" s="200">
        <v>1</v>
      </c>
      <c r="FO18" s="200">
        <f>AVERAGE(3,3,2,3,3,2)</f>
        <v>2.6666666666666665</v>
      </c>
      <c r="FP18" s="200">
        <v>3</v>
      </c>
      <c r="FQ18" s="200">
        <v>1</v>
      </c>
      <c r="FR18" s="201">
        <f t="shared" si="34"/>
        <v>7.6666666666666661</v>
      </c>
      <c r="FS18" s="203">
        <f>MEDIAN(3,3,2,3,3,2)</f>
        <v>3</v>
      </c>
      <c r="FT18">
        <f t="shared" si="35"/>
        <v>8</v>
      </c>
      <c r="FV18" s="199">
        <v>15</v>
      </c>
      <c r="FW18" s="200">
        <v>2</v>
      </c>
      <c r="FX18" s="200">
        <f>MEDIAN(2,2,3,3,2,3,3)</f>
        <v>3</v>
      </c>
      <c r="FY18" s="200">
        <v>3</v>
      </c>
      <c r="FZ18" s="200">
        <v>1</v>
      </c>
      <c r="GA18" s="201">
        <f t="shared" si="36"/>
        <v>9</v>
      </c>
      <c r="GB18" s="200">
        <f>MEDIAN(2,2,3,3,2,3,3)</f>
        <v>3</v>
      </c>
      <c r="GC18">
        <f t="shared" si="37"/>
        <v>9</v>
      </c>
      <c r="GE18" s="199">
        <v>15</v>
      </c>
      <c r="GF18" s="200">
        <v>1</v>
      </c>
      <c r="GG18" s="200">
        <f>MEDIAN(3,3,3,3,3)</f>
        <v>3</v>
      </c>
      <c r="GH18" s="200">
        <v>0</v>
      </c>
      <c r="GI18" s="200">
        <v>1</v>
      </c>
      <c r="GJ18" s="18">
        <f t="shared" si="38"/>
        <v>5</v>
      </c>
      <c r="GK18" s="200">
        <f>MEDIAN(3,3,3,3,3)</f>
        <v>3</v>
      </c>
      <c r="GL18">
        <f t="shared" si="39"/>
        <v>5</v>
      </c>
      <c r="GN18" s="199">
        <v>15</v>
      </c>
      <c r="GO18" s="200">
        <v>1</v>
      </c>
      <c r="GP18" s="200">
        <f>AVERAGE(2,2,3,2)</f>
        <v>2.25</v>
      </c>
      <c r="GQ18" s="200">
        <v>0</v>
      </c>
      <c r="GR18" s="200">
        <v>1</v>
      </c>
      <c r="GS18" s="201">
        <f t="shared" si="40"/>
        <v>4.25</v>
      </c>
      <c r="GT18" s="196">
        <f>MEDIAN(2,2,3,2)</f>
        <v>2</v>
      </c>
      <c r="GU18" s="32">
        <f t="shared" si="41"/>
        <v>4</v>
      </c>
      <c r="GW18" s="199">
        <v>15</v>
      </c>
      <c r="GX18" s="200">
        <v>2</v>
      </c>
      <c r="GY18" s="200">
        <f>AVERAGE(3,3,3,2,3,3,3)</f>
        <v>2.8571428571428572</v>
      </c>
      <c r="GZ18" s="200">
        <v>2</v>
      </c>
      <c r="HA18" s="200">
        <v>3</v>
      </c>
      <c r="HB18" s="201">
        <f t="shared" si="42"/>
        <v>9.8571428571428577</v>
      </c>
      <c r="HC18" s="196">
        <f>MEDIAN(3,3,3,2,3,3,3)</f>
        <v>3</v>
      </c>
      <c r="HD18">
        <f t="shared" si="43"/>
        <v>10</v>
      </c>
      <c r="HF18" s="199">
        <v>15</v>
      </c>
      <c r="HG18" s="200">
        <v>0</v>
      </c>
      <c r="HH18" s="200">
        <f>AVERAGE(3,3,3,2,2,3,2,3,3,2,3)</f>
        <v>2.6363636363636362</v>
      </c>
      <c r="HI18" s="200">
        <v>0</v>
      </c>
      <c r="HJ18" s="200">
        <v>0</v>
      </c>
      <c r="HK18" s="201">
        <f t="shared" si="44"/>
        <v>2.6363636363636362</v>
      </c>
      <c r="HL18" s="200">
        <f>MEDIAN(3,3,3,2,2,3,2,3,3,2,3)</f>
        <v>3</v>
      </c>
      <c r="HM18">
        <f t="shared" si="45"/>
        <v>3</v>
      </c>
      <c r="HO18" s="199">
        <v>15</v>
      </c>
      <c r="HP18" s="200">
        <v>1</v>
      </c>
      <c r="HQ18" s="200">
        <f>AVERAGE(3,2,3,3,3,3,3,3,3,3,3,2)</f>
        <v>2.8333333333333335</v>
      </c>
      <c r="HR18" s="200">
        <v>2</v>
      </c>
      <c r="HS18" s="200">
        <v>2</v>
      </c>
      <c r="HT18" s="201">
        <f t="shared" si="46"/>
        <v>7.8333333333333339</v>
      </c>
      <c r="HU18" s="200">
        <f>MEDIAN(3,2,3,3,3,3,3,3,3,3,3,2)</f>
        <v>3</v>
      </c>
      <c r="HV18">
        <f t="shared" si="47"/>
        <v>8</v>
      </c>
      <c r="HX18" s="199">
        <v>15</v>
      </c>
      <c r="HY18" s="200">
        <v>0</v>
      </c>
      <c r="HZ18" s="200">
        <f>MEDIAN(3,3,3,2,3,3,3,3,3,3,3,3,3,3,2,3,3,3,3,3,3,3,3,3,3,3,2,3,3,3,3)</f>
        <v>3</v>
      </c>
      <c r="IA18" s="200">
        <v>3</v>
      </c>
      <c r="IB18" s="200">
        <v>1</v>
      </c>
      <c r="IC18" s="201">
        <f t="shared" si="48"/>
        <v>7</v>
      </c>
      <c r="ID18" s="200">
        <f>MEDIAN(3,3,3,2,3,3,3,3,3,3,3,3,3,3,2,3,3,3,3,3,3,3,3,3,3,3,2,3,3,3,3)</f>
        <v>3</v>
      </c>
      <c r="IE18">
        <f t="shared" si="49"/>
        <v>7</v>
      </c>
      <c r="IG18" s="199">
        <v>15</v>
      </c>
      <c r="IH18" s="200">
        <v>0</v>
      </c>
      <c r="II18" s="200">
        <f>MEDIAN(3,2,3,3,3,2,3,3,3,3,2,3,2,2,2)</f>
        <v>3</v>
      </c>
      <c r="IJ18" s="200">
        <v>0</v>
      </c>
      <c r="IK18" s="200">
        <v>0</v>
      </c>
      <c r="IL18" s="201">
        <f t="shared" si="50"/>
        <v>3</v>
      </c>
      <c r="IM18" s="200">
        <f>MEDIAN(3,2,3,3,3,2,3,3,3,3,2,3,2,2,2)</f>
        <v>3</v>
      </c>
      <c r="IN18">
        <f t="shared" si="51"/>
        <v>3</v>
      </c>
      <c r="IP18" s="199">
        <v>15</v>
      </c>
      <c r="IQ18" s="200">
        <v>0</v>
      </c>
      <c r="IR18" s="200">
        <f>AVERAGE(3,2,2,3,3,3,3)</f>
        <v>2.7142857142857144</v>
      </c>
      <c r="IS18" s="200">
        <v>3</v>
      </c>
      <c r="IT18" s="200">
        <v>1</v>
      </c>
      <c r="IU18" s="201">
        <f t="shared" si="52"/>
        <v>6.7142857142857144</v>
      </c>
      <c r="IV18" s="200">
        <f>MEDIAN(3,2,2,3,3,3,3)</f>
        <v>3</v>
      </c>
      <c r="IW18">
        <f t="shared" si="53"/>
        <v>7</v>
      </c>
      <c r="IY18" s="199">
        <v>15</v>
      </c>
      <c r="IZ18" s="200">
        <v>0</v>
      </c>
      <c r="JA18" s="200">
        <f>AVERAGE(3,3,3,3,3,3,3,3,3,3,3,3,3)</f>
        <v>3</v>
      </c>
      <c r="JB18" s="200">
        <v>3</v>
      </c>
      <c r="JC18" s="200">
        <v>1</v>
      </c>
      <c r="JD18" s="201">
        <f t="shared" si="54"/>
        <v>7</v>
      </c>
      <c r="JE18" s="200">
        <f>MEDIAN(3,3,3,3,3,3,3,3,3,3,3,3,3)</f>
        <v>3</v>
      </c>
      <c r="JF18">
        <f t="shared" si="55"/>
        <v>7</v>
      </c>
      <c r="JH18" s="199">
        <v>15</v>
      </c>
      <c r="JI18" s="200">
        <v>2</v>
      </c>
      <c r="JJ18" s="200">
        <f>MEDIAN(3,2)</f>
        <v>2.5</v>
      </c>
      <c r="JK18" s="200">
        <v>3</v>
      </c>
      <c r="JL18" s="200">
        <v>3</v>
      </c>
      <c r="JM18" s="201">
        <f t="shared" si="56"/>
        <v>10.5</v>
      </c>
      <c r="JN18" s="200">
        <f>MEDIAN(3,2)</f>
        <v>2.5</v>
      </c>
      <c r="JO18">
        <f t="shared" si="57"/>
        <v>10.5</v>
      </c>
      <c r="JQ18" s="199">
        <v>15</v>
      </c>
      <c r="JR18" s="200">
        <v>0</v>
      </c>
      <c r="JS18" s="200">
        <f>MEDIAN(3,3,3,3,3,3,3)</f>
        <v>3</v>
      </c>
      <c r="JT18" s="200">
        <v>0</v>
      </c>
      <c r="JU18" s="200">
        <v>1</v>
      </c>
      <c r="JV18" s="201">
        <f t="shared" si="58"/>
        <v>4</v>
      </c>
      <c r="JW18" s="200">
        <f>MEDIAN(3,3,3,3,3,3,3)</f>
        <v>3</v>
      </c>
      <c r="JX18">
        <f t="shared" si="59"/>
        <v>4</v>
      </c>
      <c r="JZ18" s="199">
        <v>15</v>
      </c>
      <c r="KA18" s="200">
        <v>0</v>
      </c>
      <c r="KB18" s="200">
        <f>AVERAGE(2,3,2,2,3,3,3,2,2,3,3,3,2,3,3,2,2,3,3,3,2)</f>
        <v>2.5714285714285716</v>
      </c>
      <c r="KC18" s="200">
        <v>1</v>
      </c>
      <c r="KD18" s="200">
        <v>1</v>
      </c>
      <c r="KE18" s="201">
        <f t="shared" si="60"/>
        <v>4.5714285714285712</v>
      </c>
      <c r="KF18" s="200">
        <f>MEDIAN(2,3,2,2,3,3,3,2,2,3,3,3,2,3,3,2,2,3,3,3,2)</f>
        <v>3</v>
      </c>
      <c r="KG18">
        <f t="shared" si="61"/>
        <v>5</v>
      </c>
      <c r="KI18" s="199">
        <v>15</v>
      </c>
      <c r="KJ18" s="200">
        <v>1</v>
      </c>
      <c r="KK18" s="200">
        <f>AVERAGE(3,2,2,2,2,2,3,2,3)</f>
        <v>2.3333333333333335</v>
      </c>
      <c r="KL18" s="200">
        <v>1</v>
      </c>
      <c r="KM18" s="200">
        <v>0</v>
      </c>
      <c r="KN18" s="201">
        <f t="shared" si="62"/>
        <v>4.3333333333333339</v>
      </c>
      <c r="KO18" s="200">
        <f>MEDIAN(3,2,2,2,2,2,3,2,3)</f>
        <v>2</v>
      </c>
      <c r="KP18">
        <f t="shared" si="63"/>
        <v>4</v>
      </c>
      <c r="KR18" s="199">
        <v>15</v>
      </c>
      <c r="KS18" s="200">
        <v>1</v>
      </c>
      <c r="KT18" s="200">
        <f>AVERAGE(3,3,3,3,3)</f>
        <v>3</v>
      </c>
      <c r="KU18" s="200">
        <v>2</v>
      </c>
      <c r="KV18" s="200">
        <v>2</v>
      </c>
      <c r="KW18" s="201">
        <f t="shared" si="64"/>
        <v>8</v>
      </c>
      <c r="KX18" s="200">
        <f>MEDIAN(3,3,3,3,3)</f>
        <v>3</v>
      </c>
      <c r="KY18">
        <f t="shared" si="65"/>
        <v>8</v>
      </c>
      <c r="LA18" s="199">
        <v>15</v>
      </c>
      <c r="LB18" s="200">
        <v>0</v>
      </c>
      <c r="LC18" s="200">
        <f>AVERAGE(3,3,2)</f>
        <v>2.6666666666666665</v>
      </c>
      <c r="LD18" s="200">
        <v>1</v>
      </c>
      <c r="LE18" s="200">
        <v>3</v>
      </c>
      <c r="LF18" s="201">
        <f t="shared" si="66"/>
        <v>6.6666666666666661</v>
      </c>
      <c r="LG18" s="200">
        <f>MEDIAN(3,3,2)</f>
        <v>3</v>
      </c>
      <c r="LH18">
        <f t="shared" si="67"/>
        <v>7</v>
      </c>
      <c r="LK18" s="199">
        <v>15</v>
      </c>
      <c r="LL18" s="200">
        <v>1</v>
      </c>
      <c r="LM18" s="200">
        <f>AVERAGE(3,3,2,3,3,2,3,3,3)</f>
        <v>2.7777777777777777</v>
      </c>
      <c r="LN18" s="200">
        <v>3</v>
      </c>
      <c r="LO18" s="200">
        <v>2</v>
      </c>
      <c r="LP18" s="201">
        <f t="shared" si="68"/>
        <v>8.7777777777777786</v>
      </c>
      <c r="LQ18" s="200">
        <f>MEDIAN(3,3,2,3,3,2,3,3,3)</f>
        <v>3</v>
      </c>
      <c r="LR18">
        <f t="shared" si="69"/>
        <v>9</v>
      </c>
      <c r="LT18" s="199">
        <v>15</v>
      </c>
      <c r="LU18" s="200">
        <v>2</v>
      </c>
      <c r="LV18" s="200">
        <f>AVERAGE(3,3,3,2,3,2,2,3,3,3,3)</f>
        <v>2.7272727272727271</v>
      </c>
      <c r="LW18" s="200">
        <v>3</v>
      </c>
      <c r="LX18" s="200">
        <v>1</v>
      </c>
      <c r="LY18" s="201">
        <f t="shared" si="70"/>
        <v>8.7272727272727266</v>
      </c>
      <c r="LZ18" s="200">
        <f>MEDIAN(3,3,3,2,3,2,2,3,3,3,3)</f>
        <v>3</v>
      </c>
      <c r="MA18">
        <f t="shared" si="71"/>
        <v>9</v>
      </c>
      <c r="MC18" s="199">
        <v>15</v>
      </c>
      <c r="MD18" s="200">
        <v>0</v>
      </c>
      <c r="ME18" s="200">
        <f>AVERAGE(3,3,3,3,3,3)</f>
        <v>3</v>
      </c>
      <c r="MF18" s="200">
        <v>0</v>
      </c>
      <c r="MG18" s="200">
        <v>1</v>
      </c>
      <c r="MH18" s="201">
        <f t="shared" si="72"/>
        <v>4</v>
      </c>
      <c r="MI18" s="200">
        <f>MEDIAN(3,3,3,3,3,3)</f>
        <v>3</v>
      </c>
      <c r="MJ18">
        <f t="shared" si="73"/>
        <v>4</v>
      </c>
      <c r="ML18" s="199">
        <v>15</v>
      </c>
      <c r="MM18" s="200">
        <v>1</v>
      </c>
      <c r="MN18" s="200">
        <f>AVERAGE(2,3,3,3,3,3,3,2,3,3,3,3,3,3,3,2,2,3,3,3,3)</f>
        <v>2.8095238095238093</v>
      </c>
      <c r="MO18" s="200">
        <v>2</v>
      </c>
      <c r="MP18" s="200">
        <v>1</v>
      </c>
      <c r="MQ18" s="201">
        <f t="shared" si="74"/>
        <v>6.8095238095238093</v>
      </c>
      <c r="MR18" s="200">
        <f>MEDIAN(2,3,3,3,3,3,3,2,3,3,3,3,3,3,3,2,2,3,3,3,3)</f>
        <v>3</v>
      </c>
      <c r="MS18">
        <f t="shared" si="75"/>
        <v>7</v>
      </c>
      <c r="MU18" s="199">
        <v>15</v>
      </c>
      <c r="MV18" s="200">
        <v>1</v>
      </c>
      <c r="MW18" s="200">
        <f>MEDIAN(3,3,2,2,2)</f>
        <v>2</v>
      </c>
      <c r="MX18" s="200">
        <v>2</v>
      </c>
      <c r="MY18" s="200">
        <v>1</v>
      </c>
      <c r="MZ18" s="201">
        <f t="shared" si="76"/>
        <v>6</v>
      </c>
      <c r="NA18" s="200">
        <f>MEDIAN(3,3,2,2,2)</f>
        <v>2</v>
      </c>
      <c r="NB18">
        <f t="shared" si="77"/>
        <v>6</v>
      </c>
      <c r="ND18" s="199">
        <v>15</v>
      </c>
      <c r="NE18" s="200">
        <v>1</v>
      </c>
      <c r="NF18" s="200">
        <f>MEDIAN(3,3,3,3,2,3,3,2,2,3,3)</f>
        <v>3</v>
      </c>
      <c r="NG18" s="200">
        <v>2</v>
      </c>
      <c r="NH18" s="200">
        <v>2</v>
      </c>
      <c r="NI18" s="201">
        <f t="shared" si="78"/>
        <v>8</v>
      </c>
      <c r="NJ18" s="200">
        <f>MEDIAN(3,3,3,3,2,3,3,2,2,3,3)</f>
        <v>3</v>
      </c>
      <c r="NK18">
        <f t="shared" si="79"/>
        <v>8</v>
      </c>
      <c r="NM18" s="199">
        <v>15</v>
      </c>
      <c r="NN18" s="200">
        <v>0</v>
      </c>
      <c r="NO18" s="200">
        <f>AVERAGE(3)</f>
        <v>3</v>
      </c>
      <c r="NP18" s="200">
        <v>0</v>
      </c>
      <c r="NQ18" s="200">
        <v>1</v>
      </c>
      <c r="NR18" s="201">
        <f t="shared" si="80"/>
        <v>4</v>
      </c>
      <c r="NS18" s="200">
        <f>MEDIAN(3)</f>
        <v>3</v>
      </c>
      <c r="NT18">
        <f t="shared" si="81"/>
        <v>4</v>
      </c>
      <c r="NV18" s="199">
        <v>15</v>
      </c>
      <c r="NW18" s="200">
        <v>1</v>
      </c>
      <c r="NX18" s="200">
        <f>AVERAGE(3,3,3,3,2,3,3,3,3,3,3,3)</f>
        <v>2.9166666666666665</v>
      </c>
      <c r="NY18" s="200">
        <v>3</v>
      </c>
      <c r="NZ18" s="200">
        <v>2</v>
      </c>
      <c r="OA18" s="201">
        <f t="shared" si="82"/>
        <v>8.9166666666666661</v>
      </c>
      <c r="OB18" s="200">
        <f>MEDIAN(3,3,3,3,2,3,3,3,3,3,3,3)</f>
        <v>3</v>
      </c>
      <c r="OC18">
        <f t="shared" si="83"/>
        <v>9</v>
      </c>
      <c r="OE18" s="199">
        <v>15</v>
      </c>
      <c r="OF18" s="200">
        <v>2</v>
      </c>
      <c r="OG18" s="200">
        <f>MEDIAN(3,3,2,3)</f>
        <v>3</v>
      </c>
      <c r="OH18" s="200">
        <v>3</v>
      </c>
      <c r="OI18" s="200">
        <v>1</v>
      </c>
      <c r="OJ18" s="201">
        <f t="shared" si="84"/>
        <v>9</v>
      </c>
      <c r="OK18" s="200">
        <f>MEDIAN(3,3,2,3)</f>
        <v>3</v>
      </c>
      <c r="OL18">
        <f t="shared" si="85"/>
        <v>9</v>
      </c>
      <c r="ON18" s="199">
        <v>15</v>
      </c>
      <c r="OO18" s="200">
        <v>1</v>
      </c>
      <c r="OP18" s="200">
        <f>MEDIAN(3,3,3,2,3,3,3)</f>
        <v>3</v>
      </c>
      <c r="OQ18" s="200">
        <v>2</v>
      </c>
      <c r="OR18" s="200">
        <v>2</v>
      </c>
      <c r="OS18" s="201">
        <f t="shared" si="86"/>
        <v>8</v>
      </c>
      <c r="OT18" s="200">
        <f>MEDIAN(3,3,3,2,3,3,3)</f>
        <v>3</v>
      </c>
      <c r="OU18">
        <f t="shared" si="87"/>
        <v>8</v>
      </c>
      <c r="OW18" s="199">
        <v>15</v>
      </c>
      <c r="OX18" s="200">
        <v>1</v>
      </c>
      <c r="OY18" s="200">
        <f>AVERAGE(2,1)</f>
        <v>1.5</v>
      </c>
      <c r="OZ18" s="200">
        <v>1</v>
      </c>
      <c r="PA18" s="200">
        <v>0</v>
      </c>
      <c r="PB18" s="201">
        <f t="shared" si="88"/>
        <v>3.5</v>
      </c>
      <c r="PC18" s="200">
        <f>MEDIAN(2,1)</f>
        <v>1.5</v>
      </c>
      <c r="PD18">
        <f t="shared" si="89"/>
        <v>3.5</v>
      </c>
      <c r="PF18" s="199">
        <v>15</v>
      </c>
      <c r="PG18" s="200">
        <v>1</v>
      </c>
      <c r="PH18" s="200">
        <f>AVERAGE(3,3,3,3,3,0,3)</f>
        <v>2.5714285714285716</v>
      </c>
      <c r="PI18" s="200">
        <v>1</v>
      </c>
      <c r="PJ18" s="200">
        <v>0</v>
      </c>
      <c r="PK18" s="201">
        <f t="shared" si="90"/>
        <v>4.5714285714285712</v>
      </c>
      <c r="PL18" s="200">
        <f>MEDIAN(3,3,3,3,3,0,3)</f>
        <v>3</v>
      </c>
      <c r="PM18">
        <f t="shared" si="91"/>
        <v>5</v>
      </c>
      <c r="PO18" s="199">
        <v>15</v>
      </c>
      <c r="PP18" s="200">
        <v>0</v>
      </c>
      <c r="PQ18" s="200">
        <f>MEDIAN(1,2,2,2,2,1,2,1,2,2,1)</f>
        <v>2</v>
      </c>
      <c r="PR18" s="200">
        <v>2</v>
      </c>
      <c r="PS18" s="200">
        <v>1</v>
      </c>
      <c r="PT18" s="201">
        <f t="shared" si="92"/>
        <v>5</v>
      </c>
      <c r="PV18" s="199">
        <v>15</v>
      </c>
      <c r="PW18" s="200">
        <v>0</v>
      </c>
      <c r="PX18" s="200">
        <f>MEDIAN(2,2,2,2,2,2,2)</f>
        <v>2</v>
      </c>
      <c r="PY18" s="200">
        <v>1</v>
      </c>
      <c r="PZ18" s="200">
        <v>1</v>
      </c>
      <c r="QA18" s="201">
        <f t="shared" si="93"/>
        <v>4</v>
      </c>
      <c r="QB18" s="200">
        <f>MEDIAN(2,2,2,2,2,2,2)</f>
        <v>2</v>
      </c>
      <c r="QC18">
        <f t="shared" si="94"/>
        <v>4</v>
      </c>
      <c r="QE18" s="199">
        <v>15</v>
      </c>
      <c r="QF18" s="200">
        <v>1</v>
      </c>
      <c r="QG18" s="200" t="s">
        <v>31</v>
      </c>
      <c r="QH18" s="200">
        <v>2</v>
      </c>
      <c r="QI18" s="200">
        <v>3</v>
      </c>
      <c r="QJ18" s="201">
        <f t="shared" si="95"/>
        <v>6</v>
      </c>
      <c r="QK18" s="200" t="s">
        <v>31</v>
      </c>
      <c r="QL18">
        <f t="shared" si="96"/>
        <v>6</v>
      </c>
      <c r="QN18" s="199">
        <v>15</v>
      </c>
      <c r="QO18" s="200">
        <v>2</v>
      </c>
      <c r="QP18" s="200">
        <f>MEDIAN(3,2,3,3)</f>
        <v>3</v>
      </c>
      <c r="QQ18" s="200">
        <v>3</v>
      </c>
      <c r="QR18" s="200">
        <v>1</v>
      </c>
      <c r="QS18" s="201">
        <f t="shared" si="97"/>
        <v>9</v>
      </c>
      <c r="QT18" s="200">
        <f>MEDIAN(3,2,3,3)</f>
        <v>3</v>
      </c>
      <c r="QU18">
        <f t="shared" si="98"/>
        <v>9</v>
      </c>
      <c r="QW18" s="199">
        <v>15</v>
      </c>
      <c r="QX18" s="200">
        <v>0</v>
      </c>
      <c r="QY18" s="200">
        <f>AVERAGE(3,3)</f>
        <v>3</v>
      </c>
      <c r="QZ18" s="200">
        <v>2</v>
      </c>
      <c r="RA18" s="200">
        <v>1</v>
      </c>
      <c r="RB18" s="201">
        <f t="shared" si="99"/>
        <v>6</v>
      </c>
      <c r="RC18" s="200">
        <f>MEDIAN(3,3)</f>
        <v>3</v>
      </c>
      <c r="RD18">
        <f t="shared" si="100"/>
        <v>6</v>
      </c>
      <c r="RF18" s="199">
        <v>15</v>
      </c>
      <c r="RG18" s="200">
        <v>1</v>
      </c>
      <c r="RH18" s="200">
        <f>AVERAGE(2,2,3,3,3,3)</f>
        <v>2.6666666666666665</v>
      </c>
      <c r="RI18" s="200">
        <v>3</v>
      </c>
      <c r="RJ18" s="200">
        <v>1</v>
      </c>
      <c r="RK18" s="201">
        <f t="shared" si="101"/>
        <v>7.6666666666666661</v>
      </c>
      <c r="RL18" s="200">
        <f>MEDIAN(2,2,3,3,3,3)</f>
        <v>3</v>
      </c>
      <c r="RM18">
        <f t="shared" si="102"/>
        <v>8</v>
      </c>
      <c r="RO18" s="199">
        <v>15</v>
      </c>
      <c r="RP18" s="200">
        <v>1</v>
      </c>
      <c r="RQ18" s="200">
        <f>AVERAGE(2,2,3,2,2,2,2)</f>
        <v>2.1428571428571428</v>
      </c>
      <c r="RR18" s="200">
        <v>1</v>
      </c>
      <c r="RS18" s="200">
        <v>1</v>
      </c>
      <c r="RT18" s="201">
        <f t="shared" si="103"/>
        <v>5.1428571428571423</v>
      </c>
      <c r="RU18" s="200">
        <f>MEDIAN(2,2,3,2,2,2,2)</f>
        <v>2</v>
      </c>
      <c r="RV18">
        <f t="shared" si="104"/>
        <v>5</v>
      </c>
      <c r="RX18" s="199">
        <v>15</v>
      </c>
      <c r="RY18" s="200">
        <v>0</v>
      </c>
      <c r="RZ18" s="200">
        <f>AVERAGE(3,3,3,3,3,3)</f>
        <v>3</v>
      </c>
      <c r="SA18" s="200">
        <v>1</v>
      </c>
      <c r="SB18" s="200">
        <v>1</v>
      </c>
      <c r="SC18" s="201">
        <f t="shared" si="105"/>
        <v>5</v>
      </c>
      <c r="SD18" s="200">
        <f>MEDIAN(3,3,3,3,3,3)</f>
        <v>3</v>
      </c>
      <c r="SE18">
        <f t="shared" si="106"/>
        <v>5</v>
      </c>
      <c r="SG18" s="199">
        <v>15</v>
      </c>
      <c r="SH18" s="200">
        <v>0</v>
      </c>
      <c r="SI18" s="200">
        <f>MEDIAN(3,3,3)</f>
        <v>3</v>
      </c>
      <c r="SJ18" s="200">
        <v>3</v>
      </c>
      <c r="SK18" s="200">
        <v>3</v>
      </c>
      <c r="SL18" s="201">
        <f t="shared" si="107"/>
        <v>9</v>
      </c>
      <c r="SM18" s="200">
        <f>MEDIAN(3,3,3)</f>
        <v>3</v>
      </c>
      <c r="SN18">
        <f t="shared" si="108"/>
        <v>9</v>
      </c>
      <c r="SP18" s="199">
        <v>15</v>
      </c>
      <c r="SQ18" s="200">
        <v>0</v>
      </c>
      <c r="SR18" s="200">
        <f>MEDIAN(3,3,2,2,3,2)</f>
        <v>2.5</v>
      </c>
      <c r="SS18" s="200">
        <v>1</v>
      </c>
      <c r="ST18" s="200">
        <v>1</v>
      </c>
      <c r="SU18" s="201">
        <f t="shared" si="109"/>
        <v>4.5</v>
      </c>
      <c r="SV18" s="200">
        <f>MEDIAN(3,3,2,2,3,2)</f>
        <v>2.5</v>
      </c>
      <c r="SW18">
        <f t="shared" si="110"/>
        <v>4.5</v>
      </c>
      <c r="SY18" s="199">
        <v>15</v>
      </c>
      <c r="SZ18" s="200">
        <v>1</v>
      </c>
      <c r="TA18" s="200">
        <f>AVERAGE(2,3)</f>
        <v>2.5</v>
      </c>
      <c r="TB18" s="200">
        <v>1</v>
      </c>
      <c r="TC18" s="200">
        <v>0</v>
      </c>
      <c r="TD18" s="201">
        <f t="shared" si="111"/>
        <v>4.5</v>
      </c>
      <c r="TE18" s="200">
        <f>MEDIAN(2,3)</f>
        <v>2.5</v>
      </c>
      <c r="TF18">
        <f t="shared" si="112"/>
        <v>4.5</v>
      </c>
      <c r="TH18" s="199">
        <v>15</v>
      </c>
      <c r="TI18" s="200">
        <v>2</v>
      </c>
      <c r="TJ18" s="200">
        <f>MEDIAN(3,3,2,3,2,2,2,3,3,3,3,2,3,3,3,3,2)</f>
        <v>3</v>
      </c>
      <c r="TK18" s="200">
        <v>3</v>
      </c>
      <c r="TL18" s="200">
        <v>3</v>
      </c>
      <c r="TM18" s="201">
        <f t="shared" si="113"/>
        <v>11</v>
      </c>
      <c r="TN18" s="200">
        <f>MEDIAN(3,3,2,3,2,2,2,3,3,3,3,2,3,3,3,3,2)</f>
        <v>3</v>
      </c>
      <c r="TO18">
        <f t="shared" si="114"/>
        <v>11</v>
      </c>
      <c r="TQ18" s="199">
        <v>15</v>
      </c>
      <c r="TR18" s="200">
        <v>2</v>
      </c>
      <c r="TS18" s="200">
        <f>MEDIAN(3)</f>
        <v>3</v>
      </c>
      <c r="TT18" s="200">
        <v>3</v>
      </c>
      <c r="TU18" s="200">
        <v>3</v>
      </c>
      <c r="TV18" s="201">
        <f t="shared" si="115"/>
        <v>11</v>
      </c>
      <c r="TX18" s="199">
        <v>15</v>
      </c>
      <c r="TY18" s="200">
        <v>1</v>
      </c>
      <c r="TZ18" s="200">
        <f>MEDIAN(3,3,3,3)</f>
        <v>3</v>
      </c>
      <c r="UA18" s="200">
        <v>1</v>
      </c>
      <c r="UB18" s="200">
        <v>1</v>
      </c>
      <c r="UC18" s="201">
        <f t="shared" si="116"/>
        <v>6</v>
      </c>
      <c r="UD18" s="200">
        <f>MEDIAN(3,3,3,3)</f>
        <v>3</v>
      </c>
      <c r="UE18">
        <f t="shared" si="117"/>
        <v>6</v>
      </c>
      <c r="UG18" s="199">
        <v>15</v>
      </c>
      <c r="UH18" s="200">
        <v>0</v>
      </c>
      <c r="UI18" s="200">
        <f>MEDIAN(3,3,3,2,3,3,3,3,2,3,3)</f>
        <v>3</v>
      </c>
      <c r="UJ18" s="200">
        <v>1</v>
      </c>
      <c r="UK18" s="200">
        <v>1</v>
      </c>
      <c r="UL18" s="201">
        <f t="shared" si="118"/>
        <v>5</v>
      </c>
      <c r="UN18" s="199">
        <v>15</v>
      </c>
      <c r="UO18" s="200">
        <v>0</v>
      </c>
      <c r="UP18" s="200">
        <f>AVERAGE(3,2,3,2,3,3,3)</f>
        <v>2.7142857142857144</v>
      </c>
      <c r="UQ18" s="200">
        <v>3</v>
      </c>
      <c r="UR18" s="200">
        <v>2</v>
      </c>
      <c r="US18" s="201">
        <f t="shared" si="119"/>
        <v>7.7142857142857144</v>
      </c>
      <c r="UT18" s="200">
        <f>MEDIAN(3,2,3,2,3,3,3)</f>
        <v>3</v>
      </c>
      <c r="UU18">
        <f t="shared" si="120"/>
        <v>8</v>
      </c>
      <c r="UW18" s="199">
        <v>15</v>
      </c>
      <c r="UX18" s="200">
        <v>1</v>
      </c>
      <c r="UY18" s="200">
        <f>AVERAGE(3,3)</f>
        <v>3</v>
      </c>
      <c r="UZ18" s="200">
        <v>1</v>
      </c>
      <c r="VA18" s="200">
        <v>1</v>
      </c>
      <c r="VB18" s="201">
        <f t="shared" si="121"/>
        <v>6</v>
      </c>
      <c r="VC18" s="200">
        <f>MEDIAN(3,3)</f>
        <v>3</v>
      </c>
      <c r="VD18">
        <f t="shared" si="122"/>
        <v>6</v>
      </c>
      <c r="VF18" s="199">
        <v>15</v>
      </c>
      <c r="VG18" s="200">
        <v>2</v>
      </c>
      <c r="VH18" s="200" t="s">
        <v>31</v>
      </c>
      <c r="VI18" s="200">
        <v>2</v>
      </c>
      <c r="VJ18" s="200">
        <v>2</v>
      </c>
      <c r="VK18" s="201">
        <f t="shared" si="123"/>
        <v>6</v>
      </c>
      <c r="VL18" s="200" t="s">
        <v>31</v>
      </c>
      <c r="VM18">
        <f t="shared" si="124"/>
        <v>6</v>
      </c>
      <c r="VN18">
        <f>VM18*(4/3)</f>
        <v>8</v>
      </c>
      <c r="VO18" s="199">
        <v>15</v>
      </c>
      <c r="VP18" s="200">
        <v>0</v>
      </c>
      <c r="VQ18" s="200">
        <f>AVERAGE(3,2,3,2,2,2,2,2,2,2,2,3)</f>
        <v>2.25</v>
      </c>
      <c r="VR18" s="200">
        <v>1</v>
      </c>
      <c r="VS18" s="200">
        <v>1</v>
      </c>
      <c r="VT18" s="201">
        <f t="shared" si="125"/>
        <v>4.25</v>
      </c>
      <c r="VU18" s="200">
        <f>MEDIAN(3,2,3,2,2,2,2,2,2,2,2,3)</f>
        <v>2</v>
      </c>
      <c r="VV18">
        <f t="shared" si="126"/>
        <v>4</v>
      </c>
    </row>
    <row r="19" spans="2:594" ht="15" thickBot="1" x14ac:dyDescent="0.4">
      <c r="B19" s="190">
        <v>16</v>
      </c>
      <c r="C19" s="16">
        <v>0</v>
      </c>
      <c r="D19" s="193">
        <f>AVERAGE(2,2,3)</f>
        <v>2.3333333333333335</v>
      </c>
      <c r="E19" s="16">
        <v>1</v>
      </c>
      <c r="F19" s="16">
        <v>1</v>
      </c>
      <c r="G19" s="18">
        <f t="shared" si="0"/>
        <v>4.3333333333333339</v>
      </c>
      <c r="H19" s="193">
        <f>MEDIAN(2,2,3)</f>
        <v>2</v>
      </c>
      <c r="I19" s="75">
        <f t="shared" si="1"/>
        <v>4</v>
      </c>
      <c r="K19" s="204">
        <v>16</v>
      </c>
      <c r="L19" s="198">
        <v>1</v>
      </c>
      <c r="M19" s="193">
        <f>AVERAGE(2,1,3,3,2,3,3,1)</f>
        <v>2.25</v>
      </c>
      <c r="N19" s="198">
        <v>2</v>
      </c>
      <c r="O19" s="49">
        <v>2</v>
      </c>
      <c r="P19" s="194">
        <f t="shared" si="2"/>
        <v>7.25</v>
      </c>
      <c r="Q19" s="193">
        <f>MEDIAN(2,1,3,3,2,3,3,1)</f>
        <v>2.5</v>
      </c>
      <c r="R19" s="75">
        <f t="shared" si="3"/>
        <v>7.5</v>
      </c>
      <c r="T19" s="190">
        <v>16</v>
      </c>
      <c r="U19" s="16">
        <v>1</v>
      </c>
      <c r="V19" s="16">
        <f>AVERAGE(2,3,2,2,2,2,2,1,2,2,1)</f>
        <v>1.9090909090909092</v>
      </c>
      <c r="W19" s="16">
        <v>1</v>
      </c>
      <c r="X19" s="16">
        <v>1</v>
      </c>
      <c r="Y19" s="16">
        <f>MEDIAN(2,3,2,2,2,2,2,1,2,2,1)</f>
        <v>2</v>
      </c>
      <c r="Z19" s="18">
        <f t="shared" si="4"/>
        <v>5</v>
      </c>
      <c r="AB19" s="190">
        <v>16</v>
      </c>
      <c r="AC19" s="16">
        <v>1</v>
      </c>
      <c r="AD19" s="16">
        <f>AVERAGE(3,2)</f>
        <v>2.5</v>
      </c>
      <c r="AE19" s="16">
        <v>2</v>
      </c>
      <c r="AF19" s="16">
        <v>2</v>
      </c>
      <c r="AG19" s="16">
        <f>MEDIAN(3,2)</f>
        <v>2.5</v>
      </c>
      <c r="AH19" s="18">
        <f t="shared" si="5"/>
        <v>7.5</v>
      </c>
      <c r="AJ19" s="204">
        <v>16</v>
      </c>
      <c r="AK19" s="198">
        <v>1</v>
      </c>
      <c r="AL19" s="198">
        <f>AVERAGE(2,3,3,2,1,2,2,3,3,3)</f>
        <v>2.4</v>
      </c>
      <c r="AM19" s="198">
        <v>2</v>
      </c>
      <c r="AN19" s="198">
        <v>2</v>
      </c>
      <c r="AO19" s="205">
        <f t="shared" si="6"/>
        <v>7.4</v>
      </c>
      <c r="AP19" s="198">
        <f>MEDIAN(2,3,3,2,1,2,2,3,3,3)</f>
        <v>2.5</v>
      </c>
      <c r="AQ19" s="75">
        <f t="shared" si="7"/>
        <v>7.5</v>
      </c>
      <c r="AS19" s="190">
        <v>16</v>
      </c>
      <c r="AT19" s="16">
        <v>0</v>
      </c>
      <c r="AU19" s="16">
        <f>AVERAGE(2,2,2,2,1,2,2,2)</f>
        <v>1.875</v>
      </c>
      <c r="AV19" s="16">
        <v>1</v>
      </c>
      <c r="AW19" s="16">
        <v>1</v>
      </c>
      <c r="AX19" s="18">
        <f t="shared" si="8"/>
        <v>3.875</v>
      </c>
      <c r="AY19" s="16">
        <f>MEDIAN(2,2,2,2,1,2,2,2)</f>
        <v>2</v>
      </c>
      <c r="AZ19" s="75">
        <f t="shared" si="9"/>
        <v>4</v>
      </c>
      <c r="BB19" s="190">
        <v>16</v>
      </c>
      <c r="BC19" s="16">
        <v>1</v>
      </c>
      <c r="BD19" s="16">
        <f>MEDIAN(2,3,3,2,2,2,2,3,2,2)</f>
        <v>2</v>
      </c>
      <c r="BE19" s="16">
        <v>1</v>
      </c>
      <c r="BF19" s="16">
        <v>0</v>
      </c>
      <c r="BG19" s="18">
        <f t="shared" si="10"/>
        <v>4</v>
      </c>
      <c r="BH19" s="16">
        <f>MEDIAN(2,3,3,2,2,2,2,3,2,2)</f>
        <v>2</v>
      </c>
      <c r="BI19" s="75">
        <f t="shared" si="11"/>
        <v>4</v>
      </c>
      <c r="BK19" s="204">
        <v>16</v>
      </c>
      <c r="BL19" s="198">
        <v>2</v>
      </c>
      <c r="BM19" s="193">
        <f>MEDIAN(2,3,2,3,2,2,3,2,3,2,3,2,2)</f>
        <v>2</v>
      </c>
      <c r="BN19" s="198">
        <v>2</v>
      </c>
      <c r="BO19" s="198">
        <v>0</v>
      </c>
      <c r="BP19" s="205">
        <f t="shared" si="12"/>
        <v>6</v>
      </c>
      <c r="BQ19" s="193">
        <f>MEDIAN(2,3,2,3,2,2,3,2,3,2,3,2,2)</f>
        <v>2</v>
      </c>
      <c r="BR19" s="75">
        <f t="shared" si="13"/>
        <v>6</v>
      </c>
      <c r="BT19" s="190">
        <v>16</v>
      </c>
      <c r="BU19" s="16">
        <v>3</v>
      </c>
      <c r="BV19" s="16">
        <f>MEDIAN(2,2,2,2,2)</f>
        <v>2</v>
      </c>
      <c r="BW19" s="16">
        <v>1</v>
      </c>
      <c r="BX19" s="16">
        <v>1</v>
      </c>
      <c r="BY19" s="18">
        <f t="shared" si="14"/>
        <v>7</v>
      </c>
      <c r="CB19" s="190">
        <v>16</v>
      </c>
      <c r="CC19" s="16">
        <v>0</v>
      </c>
      <c r="CD19" s="16">
        <f>MEDIAN(2,2,2,2,2,1,1,2)</f>
        <v>2</v>
      </c>
      <c r="CE19" s="16">
        <v>0</v>
      </c>
      <c r="CF19" s="16">
        <v>1</v>
      </c>
      <c r="CG19" s="18">
        <f t="shared" si="15"/>
        <v>3</v>
      </c>
      <c r="CJ19" s="190">
        <v>16</v>
      </c>
      <c r="CK19" s="16">
        <v>2</v>
      </c>
      <c r="CL19" s="16">
        <f>MEDIAN(3,3,2,2,3,2)</f>
        <v>2.5</v>
      </c>
      <c r="CM19" s="16">
        <v>2</v>
      </c>
      <c r="CN19" s="16">
        <v>2</v>
      </c>
      <c r="CO19" s="18">
        <f t="shared" si="16"/>
        <v>8.5</v>
      </c>
      <c r="CP19" s="16">
        <f>MEDIAN(3,3,2,2,3,2)</f>
        <v>2.5</v>
      </c>
      <c r="CQ19" s="75">
        <f t="shared" si="17"/>
        <v>8.5</v>
      </c>
      <c r="CS19" s="190">
        <v>16</v>
      </c>
      <c r="CT19" s="16">
        <v>1</v>
      </c>
      <c r="CU19" s="16">
        <f>MEDIAN(3,2,2,2,2)</f>
        <v>2</v>
      </c>
      <c r="CV19" s="16">
        <v>3</v>
      </c>
      <c r="CW19" s="16">
        <v>1</v>
      </c>
      <c r="CX19" s="18">
        <f t="shared" si="18"/>
        <v>7</v>
      </c>
      <c r="CY19" s="16">
        <f>MEDIAN(3,2,2,2,2)</f>
        <v>2</v>
      </c>
      <c r="CZ19" s="75">
        <f t="shared" si="19"/>
        <v>7</v>
      </c>
      <c r="DB19" s="204">
        <v>16</v>
      </c>
      <c r="DC19" s="198">
        <v>0</v>
      </c>
      <c r="DD19" s="193">
        <f>AVERAGE(3,3,3,3,3,2)</f>
        <v>2.8333333333333335</v>
      </c>
      <c r="DE19" s="198">
        <v>1</v>
      </c>
      <c r="DF19" s="198">
        <v>0</v>
      </c>
      <c r="DG19" s="205">
        <f t="shared" si="20"/>
        <v>3.8333333333333335</v>
      </c>
      <c r="DH19" s="193">
        <f>MEDIAN(3,3,3,3,3,2)</f>
        <v>3</v>
      </c>
      <c r="DI19" s="75">
        <f t="shared" si="21"/>
        <v>4</v>
      </c>
      <c r="DK19" s="204">
        <v>16</v>
      </c>
      <c r="DL19" s="198">
        <v>1</v>
      </c>
      <c r="DM19" s="193">
        <f>AVERAGE(3,3,2,3,2)</f>
        <v>2.6</v>
      </c>
      <c r="DN19" s="198">
        <v>3</v>
      </c>
      <c r="DO19" s="198">
        <v>1</v>
      </c>
      <c r="DP19" s="205">
        <f t="shared" si="22"/>
        <v>7.6</v>
      </c>
      <c r="DQ19" s="193">
        <f>MEDIAN(3,3,2,3,2)</f>
        <v>3</v>
      </c>
      <c r="DR19" s="75">
        <f t="shared" si="23"/>
        <v>8</v>
      </c>
      <c r="DT19" s="204">
        <v>16</v>
      </c>
      <c r="DU19" s="198">
        <v>0</v>
      </c>
      <c r="DV19" s="193">
        <f>AVERAGE(2,2,2,2,2,2,1,2,2,3)</f>
        <v>2</v>
      </c>
      <c r="DW19" s="198">
        <v>3</v>
      </c>
      <c r="DX19" s="198">
        <v>2</v>
      </c>
      <c r="DY19" s="205">
        <f t="shared" si="24"/>
        <v>7</v>
      </c>
      <c r="DZ19" s="193">
        <f>MEDIAN(2,2,2,2,2,2,1,2,2,3)</f>
        <v>2</v>
      </c>
      <c r="EA19" s="75">
        <f t="shared" si="25"/>
        <v>7</v>
      </c>
      <c r="EC19" s="204">
        <v>16</v>
      </c>
      <c r="ED19" s="198">
        <v>2</v>
      </c>
      <c r="EE19" s="193">
        <f>AVERAGE(3,2,2)</f>
        <v>2.3333333333333335</v>
      </c>
      <c r="EF19" s="198">
        <v>2</v>
      </c>
      <c r="EG19" s="198">
        <v>2</v>
      </c>
      <c r="EH19" s="205">
        <f t="shared" si="26"/>
        <v>8.3333333333333339</v>
      </c>
      <c r="EI19" s="193">
        <f>MEDIAN(3,2,2)</f>
        <v>2</v>
      </c>
      <c r="EJ19" s="75">
        <f t="shared" si="27"/>
        <v>8</v>
      </c>
      <c r="EL19" s="190">
        <v>16</v>
      </c>
      <c r="EM19" s="16">
        <v>0</v>
      </c>
      <c r="EN19" s="16">
        <f>AVERAGE(3,3,2,2,2,2,2,2,2,2)</f>
        <v>2.2000000000000002</v>
      </c>
      <c r="EO19" s="16">
        <v>1</v>
      </c>
      <c r="EP19" s="16">
        <v>0</v>
      </c>
      <c r="EQ19" s="18">
        <f t="shared" si="28"/>
        <v>3.2</v>
      </c>
      <c r="ER19" s="195">
        <f>MEDIAN(3,3,2,2,2,2,2,2,2,2)</f>
        <v>2</v>
      </c>
      <c r="ES19">
        <f t="shared" si="29"/>
        <v>3</v>
      </c>
      <c r="EU19" s="190">
        <v>16</v>
      </c>
      <c r="EV19" s="16">
        <v>0</v>
      </c>
      <c r="EW19" s="16">
        <f>AVERAGE(3,2,2,3,3,2,3,3,3,2)</f>
        <v>2.6</v>
      </c>
      <c r="EX19" s="16">
        <v>1</v>
      </c>
      <c r="EY19" s="16">
        <v>0</v>
      </c>
      <c r="EZ19" s="18">
        <f t="shared" si="30"/>
        <v>3.6</v>
      </c>
      <c r="FA19" s="195">
        <f>MEDIAN(3,2,2,3,3,2,3,3,3,2)</f>
        <v>3</v>
      </c>
      <c r="FB19">
        <f t="shared" si="31"/>
        <v>4</v>
      </c>
      <c r="FD19" s="190">
        <v>16</v>
      </c>
      <c r="FE19" s="16">
        <v>0</v>
      </c>
      <c r="FF19" s="16">
        <f>AVERAGE(3,3,3,3,3,3,2)</f>
        <v>2.8571428571428572</v>
      </c>
      <c r="FG19" s="16">
        <v>1</v>
      </c>
      <c r="FH19" s="16">
        <v>0</v>
      </c>
      <c r="FI19" s="18">
        <f t="shared" si="32"/>
        <v>3.8571428571428572</v>
      </c>
      <c r="FJ19" s="195">
        <f>MEDIAN(3,3,3,3,3,3,2)</f>
        <v>3</v>
      </c>
      <c r="FK19">
        <f t="shared" si="33"/>
        <v>4</v>
      </c>
      <c r="FM19" s="190">
        <v>16</v>
      </c>
      <c r="FN19" s="16">
        <v>0</v>
      </c>
      <c r="FO19" s="16">
        <f>AVERAGE(3,2,3,2)</f>
        <v>2.5</v>
      </c>
      <c r="FP19" s="16">
        <v>1</v>
      </c>
      <c r="FQ19" s="16">
        <v>1</v>
      </c>
      <c r="FR19" s="18">
        <f t="shared" si="34"/>
        <v>4.5</v>
      </c>
      <c r="FS19" s="195">
        <f>MEDIAN(3,2,3,2)</f>
        <v>2.5</v>
      </c>
      <c r="FT19">
        <f t="shared" si="35"/>
        <v>4.5</v>
      </c>
      <c r="FV19" s="190">
        <v>16</v>
      </c>
      <c r="FW19" s="16">
        <v>0</v>
      </c>
      <c r="FX19" s="16">
        <f>MEDIAN(2,3,3,3,3,3,3,3,3,3,3,3,3,3,2,3,3)</f>
        <v>3</v>
      </c>
      <c r="FY19" s="16">
        <v>1</v>
      </c>
      <c r="FZ19" s="16">
        <v>0</v>
      </c>
      <c r="GA19" s="18">
        <f t="shared" si="36"/>
        <v>4</v>
      </c>
      <c r="GB19" s="16">
        <f>MEDIAN(2,3,3,3,3,3,3,3,3,3,3,3,3,3,2,3,3)</f>
        <v>3</v>
      </c>
      <c r="GC19">
        <f t="shared" si="37"/>
        <v>4</v>
      </c>
      <c r="GE19" s="190">
        <v>16</v>
      </c>
      <c r="GF19" s="16">
        <v>0</v>
      </c>
      <c r="GG19" s="16">
        <f>MEDIAN(3,3,2,3,3,3,3,3,3,2)</f>
        <v>3</v>
      </c>
      <c r="GH19" s="16">
        <v>0</v>
      </c>
      <c r="GI19" s="16">
        <v>1</v>
      </c>
      <c r="GJ19" s="18">
        <f t="shared" si="38"/>
        <v>4</v>
      </c>
      <c r="GK19" s="16">
        <f>MEDIAN(3,3,2,3,3,3,3,3,3,2)</f>
        <v>3</v>
      </c>
      <c r="GL19">
        <f t="shared" si="39"/>
        <v>4</v>
      </c>
      <c r="GN19" s="190">
        <v>16</v>
      </c>
      <c r="GO19" s="16">
        <v>1</v>
      </c>
      <c r="GP19" s="16">
        <f>AVERAGE(3,2,2,1,3)</f>
        <v>2.2000000000000002</v>
      </c>
      <c r="GQ19" s="16">
        <v>0</v>
      </c>
      <c r="GR19" s="16">
        <v>1</v>
      </c>
      <c r="GS19" s="18">
        <f t="shared" si="40"/>
        <v>4.2</v>
      </c>
      <c r="GT19" s="196">
        <f>MEDIAN(3,2,2,1,3)</f>
        <v>2</v>
      </c>
      <c r="GU19" s="32">
        <f t="shared" si="41"/>
        <v>4</v>
      </c>
      <c r="GW19" s="190">
        <v>16</v>
      </c>
      <c r="GX19" s="16">
        <v>1</v>
      </c>
      <c r="GY19" s="16">
        <f>AVERAGE(3,2,3)</f>
        <v>2.6666666666666665</v>
      </c>
      <c r="GZ19" s="16">
        <v>1</v>
      </c>
      <c r="HA19" s="16">
        <v>0</v>
      </c>
      <c r="HB19" s="18">
        <f t="shared" si="42"/>
        <v>4.6666666666666661</v>
      </c>
      <c r="HC19" s="196">
        <f>MEDIAN(3,2,3)</f>
        <v>3</v>
      </c>
      <c r="HD19">
        <f t="shared" si="43"/>
        <v>5</v>
      </c>
      <c r="HF19" s="190">
        <v>16</v>
      </c>
      <c r="HG19" s="16">
        <v>0</v>
      </c>
      <c r="HH19" s="16">
        <f>AVERAGE(2,3,3,3,2,3,3,3,3)</f>
        <v>2.7777777777777777</v>
      </c>
      <c r="HI19" s="16">
        <v>2</v>
      </c>
      <c r="HJ19" s="16">
        <v>2</v>
      </c>
      <c r="HK19" s="18">
        <f t="shared" si="44"/>
        <v>6.7777777777777777</v>
      </c>
      <c r="HL19" s="16">
        <f>MEDIAN(2,3,3,3,2,3,3,3,3)</f>
        <v>3</v>
      </c>
      <c r="HM19">
        <f t="shared" si="45"/>
        <v>7</v>
      </c>
      <c r="HO19" s="190">
        <v>16</v>
      </c>
      <c r="HP19" s="16">
        <v>2</v>
      </c>
      <c r="HQ19" s="16">
        <f>AVERAGE(2,2,3,3,3,2,2,2,2,2,2,2)</f>
        <v>2.25</v>
      </c>
      <c r="HR19" s="16">
        <v>2</v>
      </c>
      <c r="HS19" s="16">
        <v>2</v>
      </c>
      <c r="HT19" s="18">
        <f t="shared" si="46"/>
        <v>8.25</v>
      </c>
      <c r="HU19" s="16">
        <f>MEDIAN(2,2,3,3,3,2,2,2,2,2,2,2)</f>
        <v>2</v>
      </c>
      <c r="HV19">
        <f t="shared" si="47"/>
        <v>8</v>
      </c>
      <c r="HX19" s="190">
        <v>16</v>
      </c>
      <c r="HY19" s="16">
        <v>0</v>
      </c>
      <c r="HZ19" s="16">
        <f>MEDIAN(2,2,2,1,1,3,2,3,2,2,2,2)</f>
        <v>2</v>
      </c>
      <c r="IA19" s="16">
        <v>1</v>
      </c>
      <c r="IB19" s="16">
        <v>0</v>
      </c>
      <c r="IC19" s="18">
        <f t="shared" si="48"/>
        <v>3</v>
      </c>
      <c r="ID19" s="16">
        <f>MEDIAN(2,2,2,1,1,3,2,3,2,2,2,2)</f>
        <v>2</v>
      </c>
      <c r="IE19">
        <f t="shared" si="49"/>
        <v>3</v>
      </c>
      <c r="IG19" s="190">
        <v>16</v>
      </c>
      <c r="IH19" s="16">
        <v>1</v>
      </c>
      <c r="II19" s="16">
        <f>MEDIAN(3,2,2,3,3,2,3,2,2,2,3,2,2,3,3,2,3,3)</f>
        <v>2.5</v>
      </c>
      <c r="IJ19" s="16">
        <v>1</v>
      </c>
      <c r="IK19" s="16">
        <v>0</v>
      </c>
      <c r="IL19" s="18">
        <f t="shared" si="50"/>
        <v>4.5</v>
      </c>
      <c r="IM19" s="16">
        <f>MEDIAN(3,2,2,3,3,2,3,2,2,2,3,2,2,3,3,2,3,3)</f>
        <v>2.5</v>
      </c>
      <c r="IN19">
        <f t="shared" si="51"/>
        <v>4.5</v>
      </c>
      <c r="IP19" s="190">
        <v>16</v>
      </c>
      <c r="IQ19" s="16">
        <v>1</v>
      </c>
      <c r="IR19" s="16">
        <f>AVERAGE(3,3,3,3,2,3,3,3,3,3)</f>
        <v>2.9</v>
      </c>
      <c r="IS19" s="16">
        <v>3</v>
      </c>
      <c r="IT19" s="16">
        <v>2</v>
      </c>
      <c r="IU19" s="18">
        <f t="shared" si="52"/>
        <v>8.9</v>
      </c>
      <c r="IV19" s="16">
        <f>MEDIAN(3,3,3,3,2,3,3,3,3,3)</f>
        <v>3</v>
      </c>
      <c r="IW19">
        <f t="shared" si="53"/>
        <v>9</v>
      </c>
      <c r="IY19" s="190">
        <v>16</v>
      </c>
      <c r="IZ19" s="16">
        <v>1</v>
      </c>
      <c r="JA19" s="16">
        <f>AVERAGE(3,3,3,3,3,3)</f>
        <v>3</v>
      </c>
      <c r="JB19" s="16">
        <v>2</v>
      </c>
      <c r="JC19" s="16">
        <v>1</v>
      </c>
      <c r="JD19" s="18">
        <f t="shared" si="54"/>
        <v>7</v>
      </c>
      <c r="JE19" s="16">
        <f>MEDIAN(3,3,3,3,3,3)</f>
        <v>3</v>
      </c>
      <c r="JF19">
        <f t="shared" si="55"/>
        <v>7</v>
      </c>
      <c r="JH19" s="190">
        <v>16</v>
      </c>
      <c r="JI19" s="16">
        <v>0</v>
      </c>
      <c r="JJ19" s="16">
        <f>MEDIAN(3,3,3,3,2,3,3,3,2)</f>
        <v>3</v>
      </c>
      <c r="JK19" s="16">
        <v>2</v>
      </c>
      <c r="JL19" s="16">
        <v>1</v>
      </c>
      <c r="JM19" s="18">
        <f t="shared" si="56"/>
        <v>6</v>
      </c>
      <c r="JN19" s="16">
        <f>MEDIAN(3,3,3,3,2,3,3,3,2)</f>
        <v>3</v>
      </c>
      <c r="JO19">
        <f t="shared" si="57"/>
        <v>6</v>
      </c>
      <c r="JQ19" s="190">
        <v>16</v>
      </c>
      <c r="JR19" s="16">
        <v>0</v>
      </c>
      <c r="JS19" s="16">
        <f>MEDIAN(2,2,3,3,3,2,3,2,3)</f>
        <v>3</v>
      </c>
      <c r="JT19" s="16">
        <v>1</v>
      </c>
      <c r="JU19" s="16">
        <v>1</v>
      </c>
      <c r="JV19" s="18">
        <f t="shared" si="58"/>
        <v>5</v>
      </c>
      <c r="JW19" s="16">
        <f>MEDIAN(2,2,3,3,3,2,3,2,3)</f>
        <v>3</v>
      </c>
      <c r="JX19">
        <f t="shared" si="59"/>
        <v>5</v>
      </c>
      <c r="JZ19" s="190">
        <v>16</v>
      </c>
      <c r="KA19" s="16">
        <v>0</v>
      </c>
      <c r="KB19" s="16">
        <f>AVERAGE(3,3,3,3,3,3,3,2,3,3,3,3,2,3)</f>
        <v>2.8571428571428572</v>
      </c>
      <c r="KC19" s="16">
        <v>0</v>
      </c>
      <c r="KD19" s="16">
        <v>0</v>
      </c>
      <c r="KE19" s="18">
        <f t="shared" si="60"/>
        <v>2.8571428571428572</v>
      </c>
      <c r="KF19" s="16">
        <f>MEDIAN(3,3,3,3,3,3,3,2,3,3,3,3,2,3)</f>
        <v>3</v>
      </c>
      <c r="KG19">
        <f t="shared" si="61"/>
        <v>3</v>
      </c>
      <c r="KI19" s="190">
        <v>16</v>
      </c>
      <c r="KJ19" s="16">
        <v>1</v>
      </c>
      <c r="KK19" s="16">
        <f>AVERAGE(3,2,3,3,2,2,3,2,3,2,3)</f>
        <v>2.5454545454545454</v>
      </c>
      <c r="KL19" s="16">
        <v>1</v>
      </c>
      <c r="KM19" s="16">
        <v>0</v>
      </c>
      <c r="KN19" s="18">
        <f t="shared" si="62"/>
        <v>4.545454545454545</v>
      </c>
      <c r="KO19" s="16">
        <f>MEDIAN(3,2,3,3,2,2,3,2,3,2,3)</f>
        <v>3</v>
      </c>
      <c r="KP19">
        <f t="shared" si="63"/>
        <v>5</v>
      </c>
      <c r="KR19" s="190">
        <v>16</v>
      </c>
      <c r="KS19" s="16">
        <v>0</v>
      </c>
      <c r="KT19" s="16">
        <f>AVERAGE(3,3,2,3,3,3,3,3)</f>
        <v>2.875</v>
      </c>
      <c r="KU19" s="16">
        <v>3</v>
      </c>
      <c r="KV19" s="16">
        <v>2</v>
      </c>
      <c r="KW19" s="18">
        <f t="shared" si="64"/>
        <v>7.875</v>
      </c>
      <c r="KX19" s="16">
        <f>MEDIAN(3,3,2,3,3,3,3,3)</f>
        <v>3</v>
      </c>
      <c r="KY19">
        <f t="shared" si="65"/>
        <v>8</v>
      </c>
      <c r="LA19" s="190">
        <v>16</v>
      </c>
      <c r="LB19" s="16">
        <v>1</v>
      </c>
      <c r="LC19" s="16">
        <f>AVERAGE(3,2,3)</f>
        <v>2.6666666666666665</v>
      </c>
      <c r="LD19" s="16">
        <v>2</v>
      </c>
      <c r="LE19" s="16">
        <v>3</v>
      </c>
      <c r="LF19" s="18">
        <f t="shared" si="66"/>
        <v>8.6666666666666661</v>
      </c>
      <c r="LG19" s="16">
        <f>MEDIAN(3,2,3)</f>
        <v>3</v>
      </c>
      <c r="LH19">
        <f t="shared" si="67"/>
        <v>9</v>
      </c>
      <c r="LK19" s="190">
        <v>16</v>
      </c>
      <c r="LL19" s="16">
        <v>0</v>
      </c>
      <c r="LM19" s="16">
        <f>AVERAGE(3,2,2,2,2)</f>
        <v>2.2000000000000002</v>
      </c>
      <c r="LN19" s="16">
        <v>2</v>
      </c>
      <c r="LO19" s="16">
        <v>1</v>
      </c>
      <c r="LP19" s="18">
        <f t="shared" si="68"/>
        <v>5.2</v>
      </c>
      <c r="LQ19" s="16">
        <f>MEDIAN(3,2,2,2,2)</f>
        <v>2</v>
      </c>
      <c r="LR19">
        <f t="shared" si="69"/>
        <v>5</v>
      </c>
      <c r="LT19" s="190">
        <v>16</v>
      </c>
      <c r="LU19" s="16">
        <v>2</v>
      </c>
      <c r="LV19" s="16">
        <f>AVERAGE(3,3,2,3,3,2,3,3,3,3,3,3)</f>
        <v>2.8333333333333335</v>
      </c>
      <c r="LW19" s="16">
        <v>2</v>
      </c>
      <c r="LX19" s="16">
        <v>1</v>
      </c>
      <c r="LY19" s="18">
        <f t="shared" si="70"/>
        <v>7.8333333333333339</v>
      </c>
      <c r="LZ19" s="16">
        <f>MEDIAN(3,3,2,3,3,2,3,3,3,3,3,3)</f>
        <v>3</v>
      </c>
      <c r="MA19">
        <f t="shared" si="71"/>
        <v>8</v>
      </c>
      <c r="MC19" s="190">
        <v>16</v>
      </c>
      <c r="MD19" s="16">
        <v>1</v>
      </c>
      <c r="ME19" s="16">
        <f>AVERAGE(3,2,2,2,3,1,3,3)</f>
        <v>2.375</v>
      </c>
      <c r="MF19" s="16">
        <v>2</v>
      </c>
      <c r="MG19" s="16">
        <v>2</v>
      </c>
      <c r="MH19" s="18">
        <f t="shared" si="72"/>
        <v>7.375</v>
      </c>
      <c r="MI19" s="16">
        <f>MEDIAN(3,2,2,2,3,1,3,3)</f>
        <v>2.5</v>
      </c>
      <c r="MJ19">
        <f t="shared" si="73"/>
        <v>7.5</v>
      </c>
      <c r="ML19" s="190">
        <v>16</v>
      </c>
      <c r="MM19" s="16">
        <v>1</v>
      </c>
      <c r="MN19" s="16">
        <f>AVERAGE(3,3,3,3,3,3,3,3,2,3,2,3,3,2,3,3,3,3)</f>
        <v>2.8333333333333335</v>
      </c>
      <c r="MO19" s="16">
        <v>2</v>
      </c>
      <c r="MP19" s="16">
        <v>1</v>
      </c>
      <c r="MQ19" s="18">
        <f t="shared" si="74"/>
        <v>6.8333333333333339</v>
      </c>
      <c r="MR19" s="16">
        <f>MEDIAN(3,3,3,3,3,3,3,3,2,3,2,3,3,2,3,3,3,3)</f>
        <v>3</v>
      </c>
      <c r="MS19">
        <f t="shared" si="75"/>
        <v>7</v>
      </c>
      <c r="MU19" s="190">
        <v>16</v>
      </c>
      <c r="MV19" s="16">
        <v>1</v>
      </c>
      <c r="MW19" s="16">
        <f>MEDIAN(2,3,2,3,2,2,3,2,3,3)</f>
        <v>2.5</v>
      </c>
      <c r="MX19" s="16">
        <v>2</v>
      </c>
      <c r="MY19" s="16">
        <v>2</v>
      </c>
      <c r="MZ19" s="18">
        <f t="shared" si="76"/>
        <v>7.5</v>
      </c>
      <c r="NA19" s="16">
        <f>MEDIAN(2,3,2,3,2,2,3,2,3,3)</f>
        <v>2.5</v>
      </c>
      <c r="NB19">
        <f t="shared" si="77"/>
        <v>7.5</v>
      </c>
      <c r="ND19" s="190">
        <v>16</v>
      </c>
      <c r="NE19" s="16">
        <v>0</v>
      </c>
      <c r="NF19" s="16">
        <f>MEDIAN(3,3,2)</f>
        <v>3</v>
      </c>
      <c r="NG19" s="16">
        <v>2</v>
      </c>
      <c r="NH19" s="16">
        <v>2</v>
      </c>
      <c r="NI19" s="18">
        <f t="shared" si="78"/>
        <v>7</v>
      </c>
      <c r="NJ19" s="16">
        <f>MEDIAN(3,3,2)</f>
        <v>3</v>
      </c>
      <c r="NK19">
        <f t="shared" si="79"/>
        <v>7</v>
      </c>
      <c r="NM19" s="190">
        <v>16</v>
      </c>
      <c r="NN19" s="16">
        <v>0</v>
      </c>
      <c r="NO19" s="16">
        <f>AVERAGE(3,3,2,3,1,2,2,3,2,2)</f>
        <v>2.2999999999999998</v>
      </c>
      <c r="NP19" s="16">
        <v>0</v>
      </c>
      <c r="NQ19" s="16">
        <v>1</v>
      </c>
      <c r="NR19" s="18">
        <f t="shared" si="80"/>
        <v>3.3</v>
      </c>
      <c r="NS19" s="16">
        <f>MEDIAN(3,3,2,3,1,2,2,3,2,2)</f>
        <v>2</v>
      </c>
      <c r="NT19">
        <f t="shared" si="81"/>
        <v>3</v>
      </c>
      <c r="NV19" s="190">
        <v>16</v>
      </c>
      <c r="NW19" s="16">
        <v>1</v>
      </c>
      <c r="NX19" s="16">
        <f>AVERAGE(3,3,3,3,3,3,3,3,3,3)</f>
        <v>3</v>
      </c>
      <c r="NY19" s="16">
        <v>3</v>
      </c>
      <c r="NZ19" s="16">
        <v>1</v>
      </c>
      <c r="OA19" s="18">
        <f t="shared" si="82"/>
        <v>8</v>
      </c>
      <c r="OB19" s="16">
        <f>MEDIAN(3,3,3,3,3,3,3,3,3,3)</f>
        <v>3</v>
      </c>
      <c r="OC19">
        <f t="shared" si="83"/>
        <v>8</v>
      </c>
      <c r="OE19" s="190">
        <v>16</v>
      </c>
      <c r="OF19" s="16">
        <v>1</v>
      </c>
      <c r="OG19" s="16">
        <f>MEDIAN(3,3,3,3,3,3,3,3,3,3,3,3,3,3,3,3,3,3)</f>
        <v>3</v>
      </c>
      <c r="OH19" s="16">
        <v>2</v>
      </c>
      <c r="OI19" s="16">
        <v>3</v>
      </c>
      <c r="OJ19" s="18">
        <f t="shared" si="84"/>
        <v>9</v>
      </c>
      <c r="OK19" s="16">
        <f>MEDIAN(3,3,3,3,3,3,3,3,3,3,3,3,3,3,3,3,3,3)</f>
        <v>3</v>
      </c>
      <c r="OL19">
        <f t="shared" si="85"/>
        <v>9</v>
      </c>
      <c r="ON19" s="190">
        <v>16</v>
      </c>
      <c r="OO19" s="16">
        <v>1</v>
      </c>
      <c r="OP19" s="16">
        <f>MEDIAN(3,3,3,3,3,3,3,3)</f>
        <v>3</v>
      </c>
      <c r="OQ19" s="16">
        <v>1</v>
      </c>
      <c r="OR19" s="16">
        <v>0</v>
      </c>
      <c r="OS19" s="18">
        <f t="shared" si="86"/>
        <v>5</v>
      </c>
      <c r="OT19" s="16">
        <f>MEDIAN(3,3,3,3,3,3,3,3)</f>
        <v>3</v>
      </c>
      <c r="OU19">
        <f t="shared" si="87"/>
        <v>5</v>
      </c>
      <c r="OW19" s="190">
        <v>16</v>
      </c>
      <c r="OX19" s="16">
        <v>0</v>
      </c>
      <c r="OY19" s="16">
        <f>AVERAGE(3,3,2,2,2)</f>
        <v>2.4</v>
      </c>
      <c r="OZ19" s="16">
        <v>3</v>
      </c>
      <c r="PA19" s="16">
        <v>2</v>
      </c>
      <c r="PB19" s="18">
        <f t="shared" si="88"/>
        <v>7.4</v>
      </c>
      <c r="PC19" s="16">
        <f>MEDIAN(3,3,2,2,2)</f>
        <v>2</v>
      </c>
      <c r="PD19">
        <f t="shared" si="89"/>
        <v>7</v>
      </c>
      <c r="PF19" s="190">
        <v>16</v>
      </c>
      <c r="PG19" s="16">
        <v>2</v>
      </c>
      <c r="PH19" s="16">
        <f>AVERAGE(3,3,3,2)</f>
        <v>2.75</v>
      </c>
      <c r="PI19" s="16">
        <v>3</v>
      </c>
      <c r="PJ19" s="16">
        <v>1</v>
      </c>
      <c r="PK19" s="18">
        <f t="shared" si="90"/>
        <v>8.75</v>
      </c>
      <c r="PL19" s="16">
        <f>MEDIAN(3,3,3,2)</f>
        <v>3</v>
      </c>
      <c r="PM19">
        <f t="shared" si="91"/>
        <v>9</v>
      </c>
      <c r="PO19" s="190">
        <v>16</v>
      </c>
      <c r="PP19" s="16">
        <v>1</v>
      </c>
      <c r="PQ19" s="16">
        <f>MEDIAN(1,1,1,2,2,2)</f>
        <v>1.5</v>
      </c>
      <c r="PR19" s="16">
        <v>2</v>
      </c>
      <c r="PS19" s="16">
        <v>0</v>
      </c>
      <c r="PT19" s="18">
        <f t="shared" si="92"/>
        <v>4.5</v>
      </c>
      <c r="PV19" s="190">
        <v>16</v>
      </c>
      <c r="PW19" s="16">
        <v>1</v>
      </c>
      <c r="PX19" s="16">
        <f>MEDIAN(3,3,3,2,2,2,3,3,3,3,3)</f>
        <v>3</v>
      </c>
      <c r="PY19" s="16">
        <v>2</v>
      </c>
      <c r="PZ19" s="16">
        <v>1</v>
      </c>
      <c r="QA19" s="18">
        <f t="shared" si="93"/>
        <v>7</v>
      </c>
      <c r="QB19" s="16">
        <f>MEDIAN(3,3,3,2,2,2,3,3,3,3,3)</f>
        <v>3</v>
      </c>
      <c r="QC19">
        <f t="shared" si="94"/>
        <v>7</v>
      </c>
      <c r="QE19" s="190">
        <v>16</v>
      </c>
      <c r="QF19" s="16">
        <v>1</v>
      </c>
      <c r="QG19" s="16">
        <f>MEDIAN(2,3,3,2,2,2,3,2,3)</f>
        <v>2</v>
      </c>
      <c r="QH19" s="16">
        <v>1</v>
      </c>
      <c r="QI19" s="16">
        <v>0</v>
      </c>
      <c r="QJ19" s="18">
        <f t="shared" si="95"/>
        <v>4</v>
      </c>
      <c r="QK19" s="16">
        <f>MEDIAN(2,3,3,2,2,2,3,2,3)</f>
        <v>2</v>
      </c>
      <c r="QL19">
        <f t="shared" si="96"/>
        <v>4</v>
      </c>
      <c r="QN19" s="190">
        <v>16</v>
      </c>
      <c r="QO19" s="16">
        <v>2</v>
      </c>
      <c r="QP19" s="16">
        <f>MEDIAN(3,2,3,3,2,3,3,3,3,3)</f>
        <v>3</v>
      </c>
      <c r="QQ19" s="16">
        <v>3</v>
      </c>
      <c r="QR19" s="16">
        <v>3</v>
      </c>
      <c r="QS19" s="18">
        <f t="shared" si="97"/>
        <v>11</v>
      </c>
      <c r="QT19" s="16">
        <f>MEDIAN(3,2,3,3,2,3,3,3,3,3)</f>
        <v>3</v>
      </c>
      <c r="QU19">
        <f t="shared" si="98"/>
        <v>11</v>
      </c>
      <c r="QW19" s="190">
        <v>16</v>
      </c>
      <c r="QX19" s="16">
        <v>1</v>
      </c>
      <c r="QY19" s="16">
        <f>AVERAGE(3,3,3,2,2,2,2,2)</f>
        <v>2.375</v>
      </c>
      <c r="QZ19" s="16">
        <v>2</v>
      </c>
      <c r="RA19" s="16">
        <v>2</v>
      </c>
      <c r="RB19" s="18">
        <f t="shared" si="99"/>
        <v>7.375</v>
      </c>
      <c r="RC19" s="16">
        <f>MEDIAN(3,3,3,2,2,2,2,2)</f>
        <v>2</v>
      </c>
      <c r="RD19">
        <f t="shared" si="100"/>
        <v>7</v>
      </c>
      <c r="RF19" s="190">
        <v>16</v>
      </c>
      <c r="RG19" s="16">
        <v>1</v>
      </c>
      <c r="RH19" s="16">
        <f>AVERAGE(3,3,2,3)</f>
        <v>2.75</v>
      </c>
      <c r="RI19" s="16">
        <v>3</v>
      </c>
      <c r="RJ19" s="16">
        <v>2</v>
      </c>
      <c r="RK19" s="18">
        <f t="shared" si="101"/>
        <v>8.75</v>
      </c>
      <c r="RL19" s="16">
        <f>MEDIAN(3,3,2,3)</f>
        <v>3</v>
      </c>
      <c r="RM19">
        <f t="shared" si="102"/>
        <v>9</v>
      </c>
      <c r="RO19" s="190">
        <v>16</v>
      </c>
      <c r="RP19" s="16">
        <v>2</v>
      </c>
      <c r="RQ19" s="16">
        <f>AVERAGE(3,3,2,2,3,3,2)</f>
        <v>2.5714285714285716</v>
      </c>
      <c r="RR19" s="16">
        <v>3</v>
      </c>
      <c r="RS19" s="16">
        <v>2</v>
      </c>
      <c r="RT19" s="18">
        <f t="shared" si="103"/>
        <v>9.5714285714285712</v>
      </c>
      <c r="RU19" s="16">
        <f>MEDIAN(3,3,2,2,3,3,2)</f>
        <v>3</v>
      </c>
      <c r="RV19">
        <f t="shared" si="104"/>
        <v>10</v>
      </c>
      <c r="RX19" s="190">
        <v>16</v>
      </c>
      <c r="RY19" s="16">
        <v>1</v>
      </c>
      <c r="RZ19" s="16">
        <f>AVERAGE(3,2,2,3)</f>
        <v>2.5</v>
      </c>
      <c r="SA19" s="16">
        <v>3</v>
      </c>
      <c r="SB19" s="16">
        <v>2</v>
      </c>
      <c r="SC19" s="18">
        <f t="shared" si="105"/>
        <v>8.5</v>
      </c>
      <c r="SD19" s="16">
        <f>MEDIAN(3,2,2,3)</f>
        <v>2.5</v>
      </c>
      <c r="SE19">
        <f t="shared" si="106"/>
        <v>8.5</v>
      </c>
      <c r="SG19" s="190">
        <v>16</v>
      </c>
      <c r="SH19" s="16">
        <v>0</v>
      </c>
      <c r="SI19" s="16">
        <f>MEDIAN(3,2,2,3)</f>
        <v>2.5</v>
      </c>
      <c r="SJ19" s="16">
        <v>1</v>
      </c>
      <c r="SK19" s="16">
        <v>1</v>
      </c>
      <c r="SL19" s="18">
        <f t="shared" si="107"/>
        <v>4.5</v>
      </c>
      <c r="SM19" s="16">
        <f>MEDIAN(3,2,2,3)</f>
        <v>2.5</v>
      </c>
      <c r="SN19">
        <f t="shared" si="108"/>
        <v>4.5</v>
      </c>
      <c r="SP19" s="190">
        <v>16</v>
      </c>
      <c r="SQ19" s="16">
        <v>2</v>
      </c>
      <c r="SR19" s="16">
        <f>MEDIAN(3,3,2,2)</f>
        <v>2.5</v>
      </c>
      <c r="SS19" s="16">
        <v>0</v>
      </c>
      <c r="ST19" s="16">
        <v>1</v>
      </c>
      <c r="SU19" s="18">
        <f t="shared" si="109"/>
        <v>5.5</v>
      </c>
      <c r="SV19" s="16">
        <f>MEDIAN(3,3,2,2)</f>
        <v>2.5</v>
      </c>
      <c r="SW19">
        <f t="shared" si="110"/>
        <v>5.5</v>
      </c>
      <c r="SY19" s="190">
        <v>16</v>
      </c>
      <c r="SZ19" s="16">
        <v>1</v>
      </c>
      <c r="TA19" s="16">
        <f>AVERAGE(3,3,3,3,3,2,3,2,2,2)</f>
        <v>2.6</v>
      </c>
      <c r="TB19" s="16">
        <v>3</v>
      </c>
      <c r="TC19" s="16">
        <v>1</v>
      </c>
      <c r="TD19" s="18">
        <f t="shared" si="111"/>
        <v>7.6</v>
      </c>
      <c r="TE19" s="16">
        <f>MEDIAN(3,3,3,3,3,2,3,2,2,2)</f>
        <v>3</v>
      </c>
      <c r="TF19">
        <f t="shared" si="112"/>
        <v>8</v>
      </c>
      <c r="TH19" s="190">
        <v>16</v>
      </c>
      <c r="TI19" s="16">
        <v>1</v>
      </c>
      <c r="TJ19" s="16">
        <f>MEDIAN(3,3,3,2,2,3)</f>
        <v>3</v>
      </c>
      <c r="TK19" s="16">
        <v>3</v>
      </c>
      <c r="TL19" s="16">
        <v>2</v>
      </c>
      <c r="TM19" s="18">
        <f t="shared" si="113"/>
        <v>9</v>
      </c>
      <c r="TN19" s="16">
        <f>MEDIAN(3,3,3,2,2,3)</f>
        <v>3</v>
      </c>
      <c r="TO19">
        <f t="shared" si="114"/>
        <v>9</v>
      </c>
      <c r="TQ19" s="190">
        <v>16</v>
      </c>
      <c r="TR19" s="16">
        <v>2</v>
      </c>
      <c r="TS19" s="16">
        <f>MEDIAN(3,2,3,3,3,2,3,3,3,3,3,3,2,3,3,3,3,3)</f>
        <v>3</v>
      </c>
      <c r="TT19" s="16">
        <v>3</v>
      </c>
      <c r="TU19" s="16">
        <v>2</v>
      </c>
      <c r="TV19" s="18">
        <f t="shared" si="115"/>
        <v>10</v>
      </c>
      <c r="TX19" s="190">
        <v>16</v>
      </c>
      <c r="TY19" s="16">
        <v>1</v>
      </c>
      <c r="TZ19" s="16">
        <f>MEDIAN(3,3,2,3,2,3,3)</f>
        <v>3</v>
      </c>
      <c r="UA19" s="16">
        <v>0</v>
      </c>
      <c r="UB19" s="16">
        <v>0</v>
      </c>
      <c r="UC19" s="18">
        <f t="shared" si="116"/>
        <v>4</v>
      </c>
      <c r="UD19" s="16">
        <f>MEDIAN(3,3,2,3,2,3,3)</f>
        <v>3</v>
      </c>
      <c r="UE19">
        <f t="shared" si="117"/>
        <v>4</v>
      </c>
      <c r="UG19" s="190">
        <v>16</v>
      </c>
      <c r="UH19" s="16">
        <v>1</v>
      </c>
      <c r="UI19" s="16">
        <f>MEDIAN(1,1,2,3,1,2,2,2,1,0,2,1,2,1,2,2,2,2)</f>
        <v>2</v>
      </c>
      <c r="UJ19" s="16">
        <v>1</v>
      </c>
      <c r="UK19" s="16">
        <v>0</v>
      </c>
      <c r="UL19" s="18">
        <f t="shared" si="118"/>
        <v>4</v>
      </c>
      <c r="UN19" s="190">
        <v>16</v>
      </c>
      <c r="UO19" s="16">
        <v>1</v>
      </c>
      <c r="UP19" s="16">
        <f>AVERAGE(3,2,2,2,3,3,3,3,2,2,3,2,2)</f>
        <v>2.4615384615384617</v>
      </c>
      <c r="UQ19" s="16">
        <v>3</v>
      </c>
      <c r="UR19" s="16">
        <v>2</v>
      </c>
      <c r="US19" s="18">
        <f t="shared" si="119"/>
        <v>8.4615384615384617</v>
      </c>
      <c r="UT19" s="16">
        <f>MEDIAN(3,2,2,2,3,3,3,3,2,2,3,2,2)</f>
        <v>2</v>
      </c>
      <c r="UU19">
        <f t="shared" si="120"/>
        <v>8</v>
      </c>
      <c r="UW19" s="190">
        <v>16</v>
      </c>
      <c r="UX19" s="16">
        <v>2</v>
      </c>
      <c r="UY19" s="16">
        <f>AVERAGE(3,3,3,3,3,3,3,3,3,3,3,3,3,3,2)</f>
        <v>2.9333333333333331</v>
      </c>
      <c r="UZ19" s="16">
        <v>3</v>
      </c>
      <c r="VA19" s="16">
        <v>2</v>
      </c>
      <c r="VB19" s="18">
        <f t="shared" si="121"/>
        <v>9.9333333333333336</v>
      </c>
      <c r="VC19" s="16">
        <f>MEDIAN(3,3,3,3,3,3,3,3,3,3,3,3,3,3,2)</f>
        <v>3</v>
      </c>
      <c r="VD19">
        <f t="shared" si="122"/>
        <v>10</v>
      </c>
      <c r="VF19" s="190">
        <v>16</v>
      </c>
      <c r="VG19" s="16">
        <v>1</v>
      </c>
      <c r="VH19" s="16">
        <f>AVERAGE(3,2,3,3,3)</f>
        <v>2.8</v>
      </c>
      <c r="VI19" s="16">
        <v>1</v>
      </c>
      <c r="VJ19" s="16">
        <v>1</v>
      </c>
      <c r="VK19" s="18">
        <f t="shared" si="123"/>
        <v>5.8</v>
      </c>
      <c r="VL19" s="16">
        <f>MEDIAN(3,2,3,3,3)</f>
        <v>3</v>
      </c>
      <c r="VM19">
        <f t="shared" si="124"/>
        <v>6</v>
      </c>
      <c r="VO19" s="190">
        <v>16</v>
      </c>
      <c r="VP19" s="16">
        <v>0</v>
      </c>
      <c r="VQ19" s="16">
        <f>AVERAGE(3,2)</f>
        <v>2.5</v>
      </c>
      <c r="VR19" s="16">
        <v>1</v>
      </c>
      <c r="VS19" s="16">
        <v>1</v>
      </c>
      <c r="VT19" s="18">
        <f t="shared" si="125"/>
        <v>4.5</v>
      </c>
      <c r="VU19" s="16">
        <f>MEDIAN(3,2)</f>
        <v>2.5</v>
      </c>
      <c r="VV19">
        <f t="shared" si="126"/>
        <v>4.5</v>
      </c>
    </row>
    <row r="20" spans="2:594" ht="15" thickBot="1" x14ac:dyDescent="0.4">
      <c r="B20" s="165">
        <v>17</v>
      </c>
      <c r="C20" s="32">
        <v>0</v>
      </c>
      <c r="D20" s="32">
        <f>AVERAGE(3,2,2,2,2,2)</f>
        <v>2.1666666666666665</v>
      </c>
      <c r="E20" s="32">
        <v>2</v>
      </c>
      <c r="F20" s="32">
        <v>1</v>
      </c>
      <c r="G20" s="33">
        <f t="shared" si="0"/>
        <v>5.1666666666666661</v>
      </c>
      <c r="H20" s="32">
        <f>MEDIAN(3,2,2,2,2,2)</f>
        <v>2</v>
      </c>
      <c r="I20" s="75">
        <f t="shared" si="1"/>
        <v>5</v>
      </c>
      <c r="K20" s="165">
        <v>17</v>
      </c>
      <c r="L20" s="32">
        <v>0</v>
      </c>
      <c r="M20" s="32">
        <f>AVERAGE(3,2,2,2,3,2,2)</f>
        <v>2.2857142857142856</v>
      </c>
      <c r="N20" s="32">
        <v>2</v>
      </c>
      <c r="O20" s="32">
        <v>2</v>
      </c>
      <c r="P20" s="33">
        <f t="shared" si="2"/>
        <v>6.2857142857142856</v>
      </c>
      <c r="Q20" s="32">
        <f>MEDIAN(3,2,2,2,3,2,2)</f>
        <v>2</v>
      </c>
      <c r="R20" s="75">
        <f t="shared" si="3"/>
        <v>6</v>
      </c>
      <c r="T20" s="165">
        <v>17</v>
      </c>
      <c r="U20" s="32">
        <v>1</v>
      </c>
      <c r="V20" s="32">
        <f>AVERAGE(3,2,3)</f>
        <v>2.6666666666666665</v>
      </c>
      <c r="W20" s="32">
        <v>2</v>
      </c>
      <c r="X20" s="32">
        <v>1</v>
      </c>
      <c r="Y20" s="32">
        <f>MEDIAN(3,2,3)</f>
        <v>3</v>
      </c>
      <c r="Z20" s="18">
        <f t="shared" si="4"/>
        <v>7</v>
      </c>
      <c r="AB20" s="165">
        <v>17</v>
      </c>
      <c r="AC20" s="32">
        <v>1</v>
      </c>
      <c r="AD20" s="32">
        <f>AVERAGE(2,2,2)</f>
        <v>2</v>
      </c>
      <c r="AE20" s="32">
        <v>3</v>
      </c>
      <c r="AF20" s="32">
        <v>1</v>
      </c>
      <c r="AG20" s="32">
        <f>MEDIAN(2,2,2)</f>
        <v>2</v>
      </c>
      <c r="AH20" s="18">
        <f t="shared" si="5"/>
        <v>7</v>
      </c>
      <c r="AJ20" s="165">
        <v>17</v>
      </c>
      <c r="AK20" s="32">
        <v>0</v>
      </c>
      <c r="AL20" s="32">
        <f>AVERAGE(3,2,2,2,3,3,3,2,3)</f>
        <v>2.5555555555555554</v>
      </c>
      <c r="AM20" s="32">
        <v>3</v>
      </c>
      <c r="AN20" s="32">
        <v>2</v>
      </c>
      <c r="AO20" s="33">
        <f t="shared" si="6"/>
        <v>7.5555555555555554</v>
      </c>
      <c r="AP20" s="32">
        <f>MEDIAN(3,2,2,2,3,3,3,2,3)</f>
        <v>3</v>
      </c>
      <c r="AQ20" s="75">
        <f t="shared" si="7"/>
        <v>8</v>
      </c>
      <c r="AS20" s="165">
        <v>17</v>
      </c>
      <c r="AT20" s="32">
        <v>1</v>
      </c>
      <c r="AU20" s="32">
        <f>AVERAGE(2,3,2,2,2,3,3)</f>
        <v>2.4285714285714284</v>
      </c>
      <c r="AV20" s="32">
        <v>1</v>
      </c>
      <c r="AW20" s="32">
        <v>0</v>
      </c>
      <c r="AX20" s="33">
        <f t="shared" si="8"/>
        <v>4.4285714285714288</v>
      </c>
      <c r="AY20" s="32">
        <f>MEDIAN(2,3,2,2,2,3,3)</f>
        <v>2</v>
      </c>
      <c r="AZ20" s="75">
        <f t="shared" si="9"/>
        <v>4</v>
      </c>
      <c r="BB20" s="165">
        <v>17</v>
      </c>
      <c r="BC20" s="32">
        <v>0</v>
      </c>
      <c r="BD20" s="32">
        <f>MEDIAN(3,3,3,2,2,2)</f>
        <v>2.5</v>
      </c>
      <c r="BE20" s="32">
        <v>3</v>
      </c>
      <c r="BF20" s="32">
        <v>3</v>
      </c>
      <c r="BG20" s="33">
        <f t="shared" si="10"/>
        <v>8.5</v>
      </c>
      <c r="BH20" s="32">
        <f>MEDIAN(3,3,3,2,2,2)</f>
        <v>2.5</v>
      </c>
      <c r="BI20" s="75">
        <f t="shared" si="11"/>
        <v>8.5</v>
      </c>
      <c r="BK20" s="165">
        <v>17</v>
      </c>
      <c r="BL20" s="32">
        <v>1</v>
      </c>
      <c r="BM20" s="32">
        <f>MEDIAN(2,3,2,3,2,2,3,2,3,3)</f>
        <v>2.5</v>
      </c>
      <c r="BN20" s="32">
        <v>1</v>
      </c>
      <c r="BO20" s="32">
        <v>0</v>
      </c>
      <c r="BP20" s="33">
        <f t="shared" si="12"/>
        <v>4.5</v>
      </c>
      <c r="BQ20" s="32">
        <f>MEDIAN(2,3,2,3,2,2,3,2,3,3)</f>
        <v>2.5</v>
      </c>
      <c r="BR20" s="75">
        <f t="shared" si="13"/>
        <v>4.5</v>
      </c>
      <c r="BT20" s="165">
        <v>17</v>
      </c>
      <c r="BU20" s="32">
        <v>1</v>
      </c>
      <c r="BV20" s="32">
        <f>MEDIAN(2,1,2,2,2,2)</f>
        <v>2</v>
      </c>
      <c r="BW20" s="32">
        <v>1</v>
      </c>
      <c r="BX20" s="32">
        <v>1</v>
      </c>
      <c r="BY20" s="33">
        <f t="shared" si="14"/>
        <v>5</v>
      </c>
      <c r="CB20" s="165">
        <v>17</v>
      </c>
      <c r="CC20" s="32">
        <v>3</v>
      </c>
      <c r="CD20" s="32">
        <f>MEDIAN(3,3,3,2,2,2,2,2)</f>
        <v>2</v>
      </c>
      <c r="CE20" s="32">
        <v>3</v>
      </c>
      <c r="CF20" s="32">
        <v>1</v>
      </c>
      <c r="CG20" s="33">
        <f t="shared" si="15"/>
        <v>9</v>
      </c>
      <c r="CJ20" s="165">
        <v>17</v>
      </c>
      <c r="CK20" s="32">
        <v>2</v>
      </c>
      <c r="CL20" s="32">
        <f>MEDIAN(3,3,1,2,3,2,3,1,3,1,3)</f>
        <v>3</v>
      </c>
      <c r="CM20" s="32">
        <v>2</v>
      </c>
      <c r="CN20" s="32">
        <v>2</v>
      </c>
      <c r="CO20" s="33">
        <f t="shared" si="16"/>
        <v>9</v>
      </c>
      <c r="CP20" s="32">
        <f>MEDIAN(3,3,1,2,3,2,3,1,3,1,3)</f>
        <v>3</v>
      </c>
      <c r="CQ20" s="75">
        <f t="shared" si="17"/>
        <v>9</v>
      </c>
      <c r="CS20" s="165">
        <v>17</v>
      </c>
      <c r="CT20" s="32">
        <v>0</v>
      </c>
      <c r="CU20" s="32">
        <f>MEDIAN(2,2,1,2,2,2,2,2,3,1,2)</f>
        <v>2</v>
      </c>
      <c r="CV20" s="32">
        <v>2</v>
      </c>
      <c r="CW20" s="32">
        <v>1</v>
      </c>
      <c r="CX20" s="33">
        <f t="shared" si="18"/>
        <v>5</v>
      </c>
      <c r="CY20" s="32">
        <f>MEDIAN(2,2,1,2,2,2,2,2,3,1,2)</f>
        <v>2</v>
      </c>
      <c r="CZ20" s="75">
        <f t="shared" si="19"/>
        <v>5</v>
      </c>
      <c r="DB20" s="165">
        <v>17</v>
      </c>
      <c r="DC20" s="32">
        <v>1</v>
      </c>
      <c r="DD20" s="32">
        <f>AVERAGE(3,3,3,3,3,3,3,3,3,3)</f>
        <v>3</v>
      </c>
      <c r="DE20" s="32">
        <v>1</v>
      </c>
      <c r="DF20" s="32">
        <v>0</v>
      </c>
      <c r="DG20" s="33">
        <f t="shared" si="20"/>
        <v>5</v>
      </c>
      <c r="DH20" s="32">
        <f>MEDIAN(3,3,3,3,3,3,3,3,3,3)</f>
        <v>3</v>
      </c>
      <c r="DI20" s="75">
        <f t="shared" si="21"/>
        <v>5</v>
      </c>
      <c r="DK20" s="165">
        <v>17</v>
      </c>
      <c r="DL20" s="32">
        <v>0</v>
      </c>
      <c r="DM20" s="32">
        <f>AVERAGE(3,2,2,3,2,2,3)</f>
        <v>2.4285714285714284</v>
      </c>
      <c r="DN20" s="32">
        <v>3</v>
      </c>
      <c r="DO20" s="32">
        <v>0</v>
      </c>
      <c r="DP20" s="33">
        <f t="shared" si="22"/>
        <v>5.4285714285714288</v>
      </c>
      <c r="DQ20" s="32">
        <f>MEDIAN(3,2,2,3,2,2,3)</f>
        <v>2</v>
      </c>
      <c r="DR20" s="75">
        <f t="shared" si="23"/>
        <v>5</v>
      </c>
      <c r="DT20" s="165">
        <v>17</v>
      </c>
      <c r="DU20" s="32">
        <v>1</v>
      </c>
      <c r="DV20" s="32">
        <f>AVERAGE(2,2,2,2,2,2,2)</f>
        <v>2</v>
      </c>
      <c r="DW20" s="32">
        <v>3</v>
      </c>
      <c r="DX20" s="32">
        <v>1</v>
      </c>
      <c r="DY20" s="33">
        <f t="shared" si="24"/>
        <v>7</v>
      </c>
      <c r="DZ20" s="32">
        <f>MEDIAN(2,2,2,2,2,2,2)</f>
        <v>2</v>
      </c>
      <c r="EA20" s="75">
        <f t="shared" si="25"/>
        <v>7</v>
      </c>
      <c r="EC20" s="165">
        <v>17</v>
      </c>
      <c r="ED20" s="32">
        <v>1</v>
      </c>
      <c r="EE20" s="32">
        <f>AVERAGE(3,3,3,3,3,3,3,3)</f>
        <v>3</v>
      </c>
      <c r="EF20" s="32">
        <v>1</v>
      </c>
      <c r="EG20" s="32">
        <v>1</v>
      </c>
      <c r="EH20" s="33">
        <f t="shared" si="26"/>
        <v>6</v>
      </c>
      <c r="EI20" s="32">
        <f>MEDIAN(3,3,3,3,3,3,3,3)</f>
        <v>3</v>
      </c>
      <c r="EJ20" s="75">
        <f t="shared" si="27"/>
        <v>6</v>
      </c>
      <c r="EL20" s="165">
        <v>17</v>
      </c>
      <c r="EM20" s="32">
        <v>0</v>
      </c>
      <c r="EN20" s="32">
        <f>AVERAGE(2,1,2,2,2,2,2,2,2,2,2,2,2,2,3,3,2)</f>
        <v>2.0588235294117645</v>
      </c>
      <c r="EO20" s="32">
        <v>1</v>
      </c>
      <c r="EP20" s="32">
        <v>0</v>
      </c>
      <c r="EQ20" s="33">
        <f t="shared" si="28"/>
        <v>3.0588235294117645</v>
      </c>
      <c r="ER20" s="197">
        <f>MEDIAN(2,1,2,2,2,2,2,2,2,2,2,2,2,2,3,3,2)</f>
        <v>2</v>
      </c>
      <c r="ES20">
        <f t="shared" si="29"/>
        <v>3</v>
      </c>
      <c r="EU20" s="165">
        <v>17</v>
      </c>
      <c r="EV20" s="32">
        <v>1</v>
      </c>
      <c r="EW20" s="32">
        <f>AVERAGE(3,3,2,2,3,3,2,3,2)</f>
        <v>2.5555555555555554</v>
      </c>
      <c r="EX20" s="32">
        <v>1</v>
      </c>
      <c r="EY20" s="32">
        <v>1</v>
      </c>
      <c r="EZ20" s="33">
        <f t="shared" si="30"/>
        <v>5.5555555555555554</v>
      </c>
      <c r="FA20" s="197">
        <f>MEDIAN(3,3,2,2,3,3,2,3,2)</f>
        <v>3</v>
      </c>
      <c r="FB20">
        <f t="shared" si="31"/>
        <v>6</v>
      </c>
      <c r="FD20" s="165">
        <v>17</v>
      </c>
      <c r="FE20" s="32">
        <v>0</v>
      </c>
      <c r="FF20" s="32">
        <f>AVERAGE(3,3,2,3)</f>
        <v>2.75</v>
      </c>
      <c r="FG20" s="32">
        <v>1</v>
      </c>
      <c r="FH20" s="32">
        <v>0</v>
      </c>
      <c r="FI20" s="33">
        <f t="shared" si="32"/>
        <v>3.75</v>
      </c>
      <c r="FJ20" s="197">
        <f>MEDIAN(3,3,2,3)</f>
        <v>3</v>
      </c>
      <c r="FK20">
        <f t="shared" si="33"/>
        <v>4</v>
      </c>
      <c r="FM20" s="165">
        <v>17</v>
      </c>
      <c r="FN20" s="32">
        <v>1</v>
      </c>
      <c r="FO20" s="32">
        <f>AVERAGE(2,3,2,3,2,2,3,3,3,2)</f>
        <v>2.5</v>
      </c>
      <c r="FP20" s="32">
        <v>1</v>
      </c>
      <c r="FQ20" s="32">
        <v>1</v>
      </c>
      <c r="FR20" s="33">
        <f t="shared" si="34"/>
        <v>5.5</v>
      </c>
      <c r="FS20" s="197">
        <f>MEDIAN(2,3,2,3,2,2,3,3,3,2)</f>
        <v>2.5</v>
      </c>
      <c r="FT20">
        <f t="shared" si="35"/>
        <v>5.5</v>
      </c>
      <c r="FV20" s="165">
        <v>17</v>
      </c>
      <c r="FW20" s="32">
        <v>1</v>
      </c>
      <c r="FX20" s="32">
        <f>MEDIAN(3,3,3,3,3,3,3,3,2,3,2,3,3,3,3,3,2)</f>
        <v>3</v>
      </c>
      <c r="FY20" s="32">
        <v>3</v>
      </c>
      <c r="FZ20" s="32">
        <v>1</v>
      </c>
      <c r="GA20" s="33">
        <f t="shared" si="36"/>
        <v>8</v>
      </c>
      <c r="GB20" s="32">
        <f>MEDIAN(3,3,3,3,3,3,3,3,2,3,2,3,3,3,3,3,2)</f>
        <v>3</v>
      </c>
      <c r="GC20">
        <f t="shared" si="37"/>
        <v>8</v>
      </c>
      <c r="GE20" s="165">
        <v>17</v>
      </c>
      <c r="GF20" s="32">
        <v>1</v>
      </c>
      <c r="GG20" s="32">
        <f>MEDIAN(3,3,3,3,2,3,3)</f>
        <v>3</v>
      </c>
      <c r="GH20" s="32">
        <v>0</v>
      </c>
      <c r="GI20" s="32">
        <v>0</v>
      </c>
      <c r="GJ20" s="18">
        <f t="shared" si="38"/>
        <v>4</v>
      </c>
      <c r="GK20" s="32">
        <f>MEDIAN(3,3,3,3,2,3,3)</f>
        <v>3</v>
      </c>
      <c r="GL20">
        <f t="shared" si="39"/>
        <v>4</v>
      </c>
      <c r="GN20" s="165">
        <v>17</v>
      </c>
      <c r="GO20" s="32">
        <v>2</v>
      </c>
      <c r="GP20" s="32">
        <f>AVERAGE(3,2,3,3,3,3,3,2)</f>
        <v>2.75</v>
      </c>
      <c r="GQ20" s="32">
        <v>0</v>
      </c>
      <c r="GR20" s="32">
        <v>1</v>
      </c>
      <c r="GS20" s="33">
        <f t="shared" si="40"/>
        <v>5.75</v>
      </c>
      <c r="GT20" s="196">
        <f>MEDIAN(3,2,3,3,3,3,3,2)</f>
        <v>3</v>
      </c>
      <c r="GU20" s="32">
        <f t="shared" si="41"/>
        <v>6</v>
      </c>
      <c r="GW20" s="165">
        <v>17</v>
      </c>
      <c r="GX20" s="32">
        <v>0</v>
      </c>
      <c r="GY20" s="32">
        <f>AVERAGE(2,3,3,3,3,2)</f>
        <v>2.6666666666666665</v>
      </c>
      <c r="GZ20" s="32">
        <v>0</v>
      </c>
      <c r="HA20" s="32">
        <v>0</v>
      </c>
      <c r="HB20" s="33">
        <f t="shared" si="42"/>
        <v>2.6666666666666665</v>
      </c>
      <c r="HC20" s="196">
        <f>MEDIAN(2,3,3,3,3,2)</f>
        <v>3</v>
      </c>
      <c r="HD20">
        <f t="shared" si="43"/>
        <v>3</v>
      </c>
      <c r="HF20" s="165">
        <v>17</v>
      </c>
      <c r="HG20" s="32">
        <v>0</v>
      </c>
      <c r="HH20" s="32">
        <f>AVERAGE(2,2,3,3,3)</f>
        <v>2.6</v>
      </c>
      <c r="HI20" s="32">
        <v>3</v>
      </c>
      <c r="HJ20" s="32">
        <v>1</v>
      </c>
      <c r="HK20" s="33">
        <f t="shared" si="44"/>
        <v>6.6</v>
      </c>
      <c r="HL20" s="32">
        <f>MEDIAN(2,2,3,3,3)</f>
        <v>3</v>
      </c>
      <c r="HM20">
        <f t="shared" si="45"/>
        <v>7</v>
      </c>
      <c r="HO20" s="165">
        <v>17</v>
      </c>
      <c r="HP20" s="32">
        <v>1</v>
      </c>
      <c r="HQ20" s="32">
        <f>AVERAGE(2,3,3,2,2,3)</f>
        <v>2.5</v>
      </c>
      <c r="HR20" s="32">
        <v>2</v>
      </c>
      <c r="HS20" s="32">
        <v>2</v>
      </c>
      <c r="HT20" s="33">
        <f t="shared" si="46"/>
        <v>7.5</v>
      </c>
      <c r="HU20" s="32">
        <f>MEDIAN(2,3,3,2,2,3)</f>
        <v>2.5</v>
      </c>
      <c r="HV20">
        <f t="shared" si="47"/>
        <v>7.5</v>
      </c>
      <c r="HX20" s="165">
        <v>17</v>
      </c>
      <c r="HY20" s="32">
        <v>1</v>
      </c>
      <c r="HZ20" s="32">
        <f>MEDIAN(2,3,2,2,3)</f>
        <v>2</v>
      </c>
      <c r="IA20" s="32">
        <v>1</v>
      </c>
      <c r="IB20" s="32">
        <v>1</v>
      </c>
      <c r="IC20" s="33">
        <f t="shared" si="48"/>
        <v>5</v>
      </c>
      <c r="ID20" s="32">
        <f>MEDIAN(2,3,2,2,3)</f>
        <v>2</v>
      </c>
      <c r="IE20">
        <f t="shared" si="49"/>
        <v>5</v>
      </c>
      <c r="IG20" s="165">
        <v>17</v>
      </c>
      <c r="IH20" s="32">
        <v>1</v>
      </c>
      <c r="II20" s="32">
        <f>MEDIAN(3,2,2,2,3,3,2,3,3,3,2,3,3,3,2,2,3,3,3,3,3)</f>
        <v>3</v>
      </c>
      <c r="IJ20" s="32">
        <v>1</v>
      </c>
      <c r="IK20" s="32">
        <v>0</v>
      </c>
      <c r="IL20" s="33">
        <f t="shared" si="50"/>
        <v>5</v>
      </c>
      <c r="IM20" s="32">
        <f>MEDIAN(3,2,2,2,3,3,2,3,3,3,2,3,3,3,2,2,3,3,3,3,3)</f>
        <v>3</v>
      </c>
      <c r="IN20">
        <f t="shared" si="51"/>
        <v>5</v>
      </c>
      <c r="IP20" s="165">
        <v>17</v>
      </c>
      <c r="IQ20" s="32">
        <v>0</v>
      </c>
      <c r="IR20" s="32">
        <f>AVERAGE(3,3,3,3,3,2)</f>
        <v>2.8333333333333335</v>
      </c>
      <c r="IS20" s="32">
        <v>1</v>
      </c>
      <c r="IT20" s="32">
        <v>1</v>
      </c>
      <c r="IU20" s="33">
        <f t="shared" si="52"/>
        <v>4.8333333333333339</v>
      </c>
      <c r="IV20" s="32">
        <f>MEDIAN(3,3,3,3,3,2)</f>
        <v>3</v>
      </c>
      <c r="IW20">
        <f t="shared" si="53"/>
        <v>5</v>
      </c>
      <c r="IY20" s="165">
        <v>17</v>
      </c>
      <c r="IZ20" s="32">
        <v>1</v>
      </c>
      <c r="JA20" s="32">
        <f>AVERAGE(3,3,3,2,3)</f>
        <v>2.8</v>
      </c>
      <c r="JB20" s="32">
        <v>2</v>
      </c>
      <c r="JC20" s="32">
        <v>2</v>
      </c>
      <c r="JD20" s="33">
        <f t="shared" si="54"/>
        <v>7.8</v>
      </c>
      <c r="JE20" s="32">
        <f>MEDIAN(3,3,3,2,3)</f>
        <v>3</v>
      </c>
      <c r="JF20">
        <f t="shared" si="55"/>
        <v>8</v>
      </c>
      <c r="JH20" s="165">
        <v>17</v>
      </c>
      <c r="JI20" s="32">
        <v>0</v>
      </c>
      <c r="JJ20" s="32">
        <f>MEDIAN(2,3,3,3,3,3,2,3,3)</f>
        <v>3</v>
      </c>
      <c r="JK20" s="32">
        <v>2</v>
      </c>
      <c r="JL20" s="32">
        <v>2</v>
      </c>
      <c r="JM20" s="33">
        <f t="shared" si="56"/>
        <v>7</v>
      </c>
      <c r="JN20" s="32">
        <f>MEDIAN(2,3,3,3,3,3,2,3,3)</f>
        <v>3</v>
      </c>
      <c r="JO20">
        <f t="shared" si="57"/>
        <v>7</v>
      </c>
      <c r="JQ20" s="165">
        <v>17</v>
      </c>
      <c r="JR20" s="32">
        <v>0</v>
      </c>
      <c r="JS20" s="32">
        <f>MEDIAN(3,3,3,3,2,2)</f>
        <v>3</v>
      </c>
      <c r="JT20" s="32">
        <v>0</v>
      </c>
      <c r="JU20" s="32">
        <v>0</v>
      </c>
      <c r="JV20" s="33">
        <f t="shared" si="58"/>
        <v>3</v>
      </c>
      <c r="JW20" s="32">
        <f>MEDIAN(3,3,3,3,2,2)</f>
        <v>3</v>
      </c>
      <c r="JX20">
        <f t="shared" si="59"/>
        <v>3</v>
      </c>
      <c r="JZ20" s="165">
        <v>17</v>
      </c>
      <c r="KA20" s="32">
        <v>0</v>
      </c>
      <c r="KB20" s="32">
        <f>AVERAGE(3,3,2,3,3,3,3,3,3,3,3,3,2,3)</f>
        <v>2.8571428571428572</v>
      </c>
      <c r="KC20" s="32">
        <v>0</v>
      </c>
      <c r="KD20" s="32">
        <v>1</v>
      </c>
      <c r="KE20" s="33">
        <f t="shared" si="60"/>
        <v>3.8571428571428572</v>
      </c>
      <c r="KF20" s="32">
        <f>MEDIAN(3,3,2,3,3,3,3,3,3,3,3,3,2,3)</f>
        <v>3</v>
      </c>
      <c r="KG20">
        <f t="shared" si="61"/>
        <v>4</v>
      </c>
      <c r="KI20" s="165">
        <v>17</v>
      </c>
      <c r="KJ20" s="32">
        <v>1</v>
      </c>
      <c r="KK20" s="32">
        <f>AVERAGE(2,3,3,2,3,3,3,2,3,3,2,2,3,2)</f>
        <v>2.5714285714285716</v>
      </c>
      <c r="KL20" s="32">
        <v>3</v>
      </c>
      <c r="KM20" s="32">
        <v>1</v>
      </c>
      <c r="KN20" s="33">
        <f t="shared" si="62"/>
        <v>7.5714285714285712</v>
      </c>
      <c r="KO20" s="32">
        <f>MEDIAN(2,3,3,2,3,3,3,2,3,3,2,2,3,2)</f>
        <v>3</v>
      </c>
      <c r="KP20">
        <f t="shared" si="63"/>
        <v>8</v>
      </c>
      <c r="KR20" s="165">
        <v>17</v>
      </c>
      <c r="KS20" s="32">
        <v>0</v>
      </c>
      <c r="KT20" s="32">
        <f>AVERAGE(2,3,3,3,3)</f>
        <v>2.8</v>
      </c>
      <c r="KU20" s="32">
        <v>3</v>
      </c>
      <c r="KV20" s="32">
        <v>3</v>
      </c>
      <c r="KW20" s="33">
        <f t="shared" si="64"/>
        <v>8.8000000000000007</v>
      </c>
      <c r="KX20" s="32">
        <f>MEDIAN(2,3,3,3,3)</f>
        <v>3</v>
      </c>
      <c r="KY20">
        <f t="shared" si="65"/>
        <v>9</v>
      </c>
      <c r="LA20" s="165">
        <v>17</v>
      </c>
      <c r="LB20" s="32">
        <v>2</v>
      </c>
      <c r="LC20" s="32">
        <f>AVERAGE(3,3,3,3,3,3,3,3,3,3,3,3)</f>
        <v>3</v>
      </c>
      <c r="LD20" s="32">
        <v>3</v>
      </c>
      <c r="LE20" s="32">
        <v>3</v>
      </c>
      <c r="LF20" s="33">
        <f t="shared" si="66"/>
        <v>11</v>
      </c>
      <c r="LG20" s="32">
        <f>MEDIAN(3,3,3,3,3,3,3,3,3,3,3,3)</f>
        <v>3</v>
      </c>
      <c r="LH20">
        <f t="shared" si="67"/>
        <v>11</v>
      </c>
      <c r="LK20" s="165">
        <v>17</v>
      </c>
      <c r="LL20" s="32">
        <v>0</v>
      </c>
      <c r="LM20" s="32">
        <f>AVERAGE(3,2,3)</f>
        <v>2.6666666666666665</v>
      </c>
      <c r="LN20" s="32">
        <v>2</v>
      </c>
      <c r="LO20" s="32">
        <v>1</v>
      </c>
      <c r="LP20" s="33">
        <f t="shared" si="68"/>
        <v>5.6666666666666661</v>
      </c>
      <c r="LQ20" s="32">
        <f>MEDIAN(3,2,3)</f>
        <v>3</v>
      </c>
      <c r="LR20">
        <f t="shared" si="69"/>
        <v>6</v>
      </c>
      <c r="LT20" s="165">
        <v>17</v>
      </c>
      <c r="LU20" s="32">
        <v>0</v>
      </c>
      <c r="LV20" s="32">
        <f>AVERAGE(3,3,2,3,3,3,2,2,2)</f>
        <v>2.5555555555555554</v>
      </c>
      <c r="LW20" s="32">
        <v>0</v>
      </c>
      <c r="LX20" s="32">
        <v>1</v>
      </c>
      <c r="LY20" s="33">
        <f t="shared" si="70"/>
        <v>3.5555555555555554</v>
      </c>
      <c r="LZ20" s="32">
        <f>MEDIAN(3,3,2,3,3,3,2,2,2)</f>
        <v>3</v>
      </c>
      <c r="MA20">
        <f t="shared" si="71"/>
        <v>4</v>
      </c>
      <c r="MC20" s="165">
        <v>17</v>
      </c>
      <c r="MD20" s="32">
        <v>3</v>
      </c>
      <c r="ME20" s="32">
        <f>AVERAGE(3,3,3,3,3,3,3,3)</f>
        <v>3</v>
      </c>
      <c r="MF20" s="32">
        <v>3</v>
      </c>
      <c r="MG20" s="32">
        <v>3</v>
      </c>
      <c r="MH20" s="33">
        <f t="shared" si="72"/>
        <v>12</v>
      </c>
      <c r="MI20" s="32">
        <f>MEDIAN(3,3,3,3,3,3,3,3)</f>
        <v>3</v>
      </c>
      <c r="MJ20">
        <f t="shared" si="73"/>
        <v>12</v>
      </c>
      <c r="ML20" s="165">
        <v>17</v>
      </c>
      <c r="MM20" s="32">
        <v>1</v>
      </c>
      <c r="MN20" s="32">
        <f>AVERAGE(3,3,3,3,3,3,3,2,3,3,3,3,2,3,3)</f>
        <v>2.8666666666666667</v>
      </c>
      <c r="MO20" s="32">
        <v>3</v>
      </c>
      <c r="MP20" s="32">
        <v>1</v>
      </c>
      <c r="MQ20" s="33">
        <f t="shared" si="74"/>
        <v>7.8666666666666671</v>
      </c>
      <c r="MR20" s="32">
        <f>MEDIAN(3,3,3,3,3,3,3,2,3,3,3,3,2,3,3)</f>
        <v>3</v>
      </c>
      <c r="MS20">
        <f t="shared" si="75"/>
        <v>8</v>
      </c>
      <c r="MU20" s="165">
        <v>17</v>
      </c>
      <c r="MV20" s="32">
        <v>1</v>
      </c>
      <c r="MW20" s="32">
        <f>MEDIAN(3,2,3,2,3,3,3,3,2,3,2)</f>
        <v>3</v>
      </c>
      <c r="MX20" s="32">
        <v>3</v>
      </c>
      <c r="MY20" s="32">
        <v>2</v>
      </c>
      <c r="MZ20" s="33">
        <f t="shared" si="76"/>
        <v>9</v>
      </c>
      <c r="NA20" s="32">
        <f>MEDIAN(3,2,3,2,3,3,3,3,2,3,2)</f>
        <v>3</v>
      </c>
      <c r="NB20">
        <f t="shared" si="77"/>
        <v>9</v>
      </c>
      <c r="ND20" s="165">
        <v>17</v>
      </c>
      <c r="NE20" s="32">
        <v>0</v>
      </c>
      <c r="NF20" s="32">
        <f>MEDIAN(3,3,3,3,2,3,3,3,2,3,3,2,3,3,2,3)</f>
        <v>3</v>
      </c>
      <c r="NG20" s="32">
        <v>3</v>
      </c>
      <c r="NH20" s="32">
        <v>1</v>
      </c>
      <c r="NI20" s="33">
        <f t="shared" si="78"/>
        <v>7</v>
      </c>
      <c r="NJ20" s="32">
        <f>MEDIAN(3,3,3,3,2,3,3,3,2,3,3,2,3,3,2,3)</f>
        <v>3</v>
      </c>
      <c r="NK20">
        <f t="shared" si="79"/>
        <v>7</v>
      </c>
      <c r="NM20" s="165">
        <v>17</v>
      </c>
      <c r="NN20" s="32">
        <v>2</v>
      </c>
      <c r="NO20" s="32">
        <f>AVERAGE(2,2,2,2,3,2,3,3,1)</f>
        <v>2.2222222222222223</v>
      </c>
      <c r="NP20" s="32">
        <v>1</v>
      </c>
      <c r="NQ20" s="32">
        <v>1</v>
      </c>
      <c r="NR20" s="33">
        <f t="shared" si="80"/>
        <v>6.2222222222222223</v>
      </c>
      <c r="NS20" s="32">
        <f>MEDIAN(2,2,2,2,3,2,3,3,1)</f>
        <v>2</v>
      </c>
      <c r="NT20">
        <f t="shared" si="81"/>
        <v>6</v>
      </c>
      <c r="NV20" s="165">
        <v>17</v>
      </c>
      <c r="NW20" s="32">
        <v>1</v>
      </c>
      <c r="NX20" s="32">
        <f>AVERAGE(3,3,3,3,2,2,3,3,3,2,3,3,3)</f>
        <v>2.7692307692307692</v>
      </c>
      <c r="NY20" s="32">
        <v>3</v>
      </c>
      <c r="NZ20" s="32">
        <v>1</v>
      </c>
      <c r="OA20" s="33">
        <f t="shared" si="82"/>
        <v>7.7692307692307692</v>
      </c>
      <c r="OB20" s="32">
        <f>MEDIAN(3,3,3,3,2,2,3,3,3,2,3,3,3)</f>
        <v>3</v>
      </c>
      <c r="OC20">
        <f t="shared" si="83"/>
        <v>8</v>
      </c>
      <c r="OE20" s="165">
        <v>17</v>
      </c>
      <c r="OF20" s="32">
        <v>0</v>
      </c>
      <c r="OG20" s="32">
        <f>MEDIAN(3,3,3,3,3)</f>
        <v>3</v>
      </c>
      <c r="OH20" s="32">
        <v>3</v>
      </c>
      <c r="OI20" s="32">
        <v>3</v>
      </c>
      <c r="OJ20" s="33">
        <f t="shared" si="84"/>
        <v>9</v>
      </c>
      <c r="OK20" s="32">
        <f>MEDIAN(3,3,3,3,3)</f>
        <v>3</v>
      </c>
      <c r="OL20">
        <f t="shared" si="85"/>
        <v>9</v>
      </c>
      <c r="ON20" s="165">
        <v>17</v>
      </c>
      <c r="OO20" s="32">
        <v>1</v>
      </c>
      <c r="OP20" s="32">
        <f>MEDIAN(3,3,3,3,3,3)</f>
        <v>3</v>
      </c>
      <c r="OQ20" s="32">
        <v>1</v>
      </c>
      <c r="OR20" s="32">
        <v>0</v>
      </c>
      <c r="OS20" s="33">
        <f t="shared" si="86"/>
        <v>5</v>
      </c>
      <c r="OT20" s="32">
        <f>MEDIAN(3,3,3,3,3,3)</f>
        <v>3</v>
      </c>
      <c r="OU20">
        <f t="shared" si="87"/>
        <v>5</v>
      </c>
      <c r="OW20" s="165">
        <v>17</v>
      </c>
      <c r="OX20" s="32">
        <v>1</v>
      </c>
      <c r="OY20" s="32">
        <f>AVERAGE(3,2,2)</f>
        <v>2.3333333333333335</v>
      </c>
      <c r="OZ20" s="32">
        <v>3</v>
      </c>
      <c r="PA20" s="32">
        <v>1</v>
      </c>
      <c r="PB20" s="33">
        <f t="shared" si="88"/>
        <v>7.3333333333333339</v>
      </c>
      <c r="PC20" s="32">
        <f>MEDIAN(3,2,2)</f>
        <v>2</v>
      </c>
      <c r="PD20">
        <f t="shared" si="89"/>
        <v>7</v>
      </c>
      <c r="PF20" s="165">
        <v>17</v>
      </c>
      <c r="PG20" s="32">
        <v>1</v>
      </c>
      <c r="PH20" s="32">
        <f>AVERAGE(3,2)</f>
        <v>2.5</v>
      </c>
      <c r="PI20" s="32">
        <v>1</v>
      </c>
      <c r="PJ20" s="32">
        <v>1</v>
      </c>
      <c r="PK20" s="33">
        <f t="shared" si="90"/>
        <v>5.5</v>
      </c>
      <c r="PL20" s="32">
        <f>MEDIAN(3,2)</f>
        <v>2.5</v>
      </c>
      <c r="PM20">
        <f t="shared" si="91"/>
        <v>5.5</v>
      </c>
      <c r="PO20" s="165">
        <v>17</v>
      </c>
      <c r="PP20" s="32">
        <v>0</v>
      </c>
      <c r="PQ20" s="32">
        <f>MEDIAN(1,2,1,2,2,3,2)</f>
        <v>2</v>
      </c>
      <c r="PR20" s="32">
        <v>1</v>
      </c>
      <c r="PS20" s="32">
        <v>1</v>
      </c>
      <c r="PT20" s="33">
        <f t="shared" si="92"/>
        <v>4</v>
      </c>
      <c r="PV20" s="165">
        <v>17</v>
      </c>
      <c r="PW20" s="32">
        <v>1</v>
      </c>
      <c r="PX20" s="32">
        <f>MEDIAN(3,3,3,3,2,3,3,1,2,3,3,2,2)</f>
        <v>3</v>
      </c>
      <c r="PY20" s="32">
        <v>2</v>
      </c>
      <c r="PZ20" s="32">
        <v>1</v>
      </c>
      <c r="QA20" s="33">
        <f t="shared" si="93"/>
        <v>7</v>
      </c>
      <c r="QB20" s="32">
        <f>MEDIAN(3,3,3,3,2,3,3,1,2,3,3,2,2)</f>
        <v>3</v>
      </c>
      <c r="QC20">
        <f t="shared" si="94"/>
        <v>7</v>
      </c>
      <c r="QE20" s="165">
        <v>17</v>
      </c>
      <c r="QF20" s="32">
        <v>0</v>
      </c>
      <c r="QG20" s="32">
        <f>MEDIAN(1,2,2,2)</f>
        <v>2</v>
      </c>
      <c r="QH20" s="32">
        <v>1</v>
      </c>
      <c r="QI20" s="32">
        <v>0</v>
      </c>
      <c r="QJ20" s="33">
        <f t="shared" si="95"/>
        <v>3</v>
      </c>
      <c r="QK20" s="32">
        <f>MEDIAN(1,2,2,2)</f>
        <v>2</v>
      </c>
      <c r="QL20">
        <f t="shared" si="96"/>
        <v>3</v>
      </c>
      <c r="QN20" s="165">
        <v>17</v>
      </c>
      <c r="QO20" s="32">
        <v>2</v>
      </c>
      <c r="QP20" s="32">
        <f>MEDIAN(3,3,2,3,3,3,2,2,3,3,3,3,2,2)</f>
        <v>3</v>
      </c>
      <c r="QQ20" s="32">
        <v>3</v>
      </c>
      <c r="QR20" s="32">
        <v>2</v>
      </c>
      <c r="QS20" s="33">
        <f t="shared" si="97"/>
        <v>10</v>
      </c>
      <c r="QT20" s="32">
        <f>MEDIAN(3,3,2,3,3,3,2,2,3,3,3,3,2,2)</f>
        <v>3</v>
      </c>
      <c r="QU20">
        <f t="shared" si="98"/>
        <v>10</v>
      </c>
      <c r="QW20" s="165">
        <v>17</v>
      </c>
      <c r="QX20" s="32">
        <v>2</v>
      </c>
      <c r="QY20" s="32">
        <f>AVERAGE(3,3,3,3,3)</f>
        <v>3</v>
      </c>
      <c r="QZ20" s="32">
        <v>3</v>
      </c>
      <c r="RA20" s="32">
        <v>1</v>
      </c>
      <c r="RB20" s="33">
        <f t="shared" si="99"/>
        <v>9</v>
      </c>
      <c r="RC20" s="32">
        <f>MEDIAN(3,3,3,3,3)</f>
        <v>3</v>
      </c>
      <c r="RD20">
        <f t="shared" si="100"/>
        <v>9</v>
      </c>
      <c r="RF20" s="165">
        <v>17</v>
      </c>
      <c r="RG20" s="32">
        <v>1</v>
      </c>
      <c r="RH20" s="32">
        <f>AVERAGE(3,3,3,3,3,3)</f>
        <v>3</v>
      </c>
      <c r="RI20" s="32">
        <v>3</v>
      </c>
      <c r="RJ20" s="32">
        <v>1</v>
      </c>
      <c r="RK20" s="33">
        <f t="shared" si="101"/>
        <v>8</v>
      </c>
      <c r="RL20" s="32">
        <f>MEDIAN(3,3,3,3,3,3)</f>
        <v>3</v>
      </c>
      <c r="RM20">
        <f t="shared" si="102"/>
        <v>8</v>
      </c>
      <c r="RO20" s="165">
        <v>17</v>
      </c>
      <c r="RP20" s="32">
        <v>1</v>
      </c>
      <c r="RQ20" s="32">
        <f>AVERAGE(2,2,3,2,3)</f>
        <v>2.4</v>
      </c>
      <c r="RR20" s="32">
        <v>0</v>
      </c>
      <c r="RS20" s="32">
        <v>2</v>
      </c>
      <c r="RT20" s="33">
        <f t="shared" si="103"/>
        <v>5.4</v>
      </c>
      <c r="RU20" s="32">
        <f>MEDIAN(2,2,3,2,3)</f>
        <v>2</v>
      </c>
      <c r="RV20">
        <f t="shared" si="104"/>
        <v>5</v>
      </c>
      <c r="RX20" s="165">
        <v>17</v>
      </c>
      <c r="RY20" s="32">
        <v>1</v>
      </c>
      <c r="RZ20" s="32">
        <f>AVERAGE(2,2,3,3)</f>
        <v>2.5</v>
      </c>
      <c r="SA20" s="32">
        <v>3</v>
      </c>
      <c r="SB20" s="32">
        <v>2</v>
      </c>
      <c r="SC20" s="33">
        <f t="shared" si="105"/>
        <v>8.5</v>
      </c>
      <c r="SD20" s="32">
        <f>MEDIAN(2,2,3,3)</f>
        <v>2.5</v>
      </c>
      <c r="SE20">
        <f t="shared" si="106"/>
        <v>8.5</v>
      </c>
      <c r="SG20" s="165">
        <v>17</v>
      </c>
      <c r="SH20" s="32">
        <v>0</v>
      </c>
      <c r="SI20" s="32">
        <f>MEDIAN(3,2,3,2,3,2,3,3,2,3,2)</f>
        <v>3</v>
      </c>
      <c r="SJ20" s="32">
        <v>0</v>
      </c>
      <c r="SK20" s="32">
        <v>0</v>
      </c>
      <c r="SL20" s="33">
        <f t="shared" si="107"/>
        <v>3</v>
      </c>
      <c r="SM20" s="32">
        <f>MEDIAN(3,2,3,2,3,2,3,3,2,3,2)</f>
        <v>3</v>
      </c>
      <c r="SN20">
        <f t="shared" si="108"/>
        <v>3</v>
      </c>
      <c r="SP20" s="165">
        <v>17</v>
      </c>
      <c r="SQ20" s="32">
        <v>1</v>
      </c>
      <c r="SR20" s="32">
        <f>MEDIAN(2,3,3,2,2)</f>
        <v>2</v>
      </c>
      <c r="SS20" s="32">
        <v>0</v>
      </c>
      <c r="ST20" s="32">
        <v>1</v>
      </c>
      <c r="SU20" s="33">
        <f t="shared" si="109"/>
        <v>4</v>
      </c>
      <c r="SV20" s="32">
        <f>MEDIAN(2,3,3,2,2)</f>
        <v>2</v>
      </c>
      <c r="SW20">
        <f t="shared" si="110"/>
        <v>4</v>
      </c>
      <c r="SY20" s="165">
        <v>17</v>
      </c>
      <c r="SZ20" s="32">
        <v>1</v>
      </c>
      <c r="TA20" s="32">
        <f>AVERAGE(3,3,2,2,2,3,2,3,2,2)</f>
        <v>2.4</v>
      </c>
      <c r="TB20" s="32">
        <v>1</v>
      </c>
      <c r="TC20" s="32">
        <v>0</v>
      </c>
      <c r="TD20" s="33">
        <f t="shared" si="111"/>
        <v>4.4000000000000004</v>
      </c>
      <c r="TE20" s="32">
        <f>MEDIAN(3,3,2,2,2,3,2,3,2,2)</f>
        <v>2</v>
      </c>
      <c r="TF20">
        <f t="shared" si="112"/>
        <v>4</v>
      </c>
      <c r="TH20" s="165">
        <v>17</v>
      </c>
      <c r="TI20" s="32">
        <v>1</v>
      </c>
      <c r="TJ20" s="32">
        <f>MEDIAN(2,3,3,2,3,3,2,3,3,2)</f>
        <v>3</v>
      </c>
      <c r="TK20" s="32">
        <v>3</v>
      </c>
      <c r="TL20" s="32">
        <v>3</v>
      </c>
      <c r="TM20" s="33">
        <f t="shared" si="113"/>
        <v>10</v>
      </c>
      <c r="TN20" s="32">
        <f>MEDIAN(2,3,3,2,3,3,2,3,3,2)</f>
        <v>3</v>
      </c>
      <c r="TO20">
        <f t="shared" si="114"/>
        <v>10</v>
      </c>
      <c r="TQ20" s="165">
        <v>17</v>
      </c>
      <c r="TR20" s="32">
        <v>1</v>
      </c>
      <c r="TS20" s="32">
        <f>MEDIAN(3,3,3,3,3,3,3,3,2,3,2,3,3,3,3,3,3,3,2)</f>
        <v>3</v>
      </c>
      <c r="TT20" s="32">
        <v>2</v>
      </c>
      <c r="TU20" s="32">
        <v>3</v>
      </c>
      <c r="TV20" s="33">
        <f t="shared" si="115"/>
        <v>9</v>
      </c>
      <c r="TX20" s="165">
        <v>17</v>
      </c>
      <c r="TY20" s="32">
        <v>1</v>
      </c>
      <c r="TZ20" s="32">
        <f>MEDIAN(2,3,3,3,3)</f>
        <v>3</v>
      </c>
      <c r="UA20" s="32">
        <v>0</v>
      </c>
      <c r="UB20" s="32">
        <v>1</v>
      </c>
      <c r="UC20" s="33">
        <f t="shared" si="116"/>
        <v>5</v>
      </c>
      <c r="UD20" s="32">
        <f>MEDIAN(2,3,3,3,3)</f>
        <v>3</v>
      </c>
      <c r="UE20">
        <f t="shared" si="117"/>
        <v>5</v>
      </c>
      <c r="UG20" s="165">
        <v>17</v>
      </c>
      <c r="UH20" s="32">
        <v>1</v>
      </c>
      <c r="UI20" s="32">
        <f>MEDIAN(1,1,1,2,2,2,2,2)</f>
        <v>2</v>
      </c>
      <c r="UJ20" s="32">
        <v>2</v>
      </c>
      <c r="UK20" s="32">
        <v>1</v>
      </c>
      <c r="UL20" s="33">
        <f t="shared" si="118"/>
        <v>6</v>
      </c>
      <c r="UN20" s="165">
        <v>17</v>
      </c>
      <c r="UO20" s="32">
        <v>1</v>
      </c>
      <c r="UP20" s="32">
        <f>AVERAGE(2,3,3,3,3,2,2,3,3,2,3,2,3)</f>
        <v>2.6153846153846154</v>
      </c>
      <c r="UQ20" s="32">
        <v>3</v>
      </c>
      <c r="UR20" s="32">
        <v>1</v>
      </c>
      <c r="US20" s="33">
        <f t="shared" si="119"/>
        <v>7.615384615384615</v>
      </c>
      <c r="UT20" s="32">
        <f>MEDIAN(2,3,3,3,3,2,2,3,3,2,3,2,3)</f>
        <v>3</v>
      </c>
      <c r="UU20">
        <f t="shared" si="120"/>
        <v>8</v>
      </c>
      <c r="UW20" s="165">
        <v>17</v>
      </c>
      <c r="UX20" s="32">
        <v>1</v>
      </c>
      <c r="UY20" s="32">
        <f>AVERAGE(3,3,3,3,3,2)</f>
        <v>2.8333333333333335</v>
      </c>
      <c r="UZ20" s="32">
        <v>3</v>
      </c>
      <c r="VA20" s="32">
        <v>2</v>
      </c>
      <c r="VB20" s="33">
        <f t="shared" si="121"/>
        <v>8.8333333333333339</v>
      </c>
      <c r="VC20" s="32">
        <f>MEDIAN(3,3,3,3,3,2)</f>
        <v>3</v>
      </c>
      <c r="VD20">
        <f t="shared" si="122"/>
        <v>9</v>
      </c>
      <c r="VF20" s="165">
        <v>17</v>
      </c>
      <c r="VG20" s="32">
        <v>2</v>
      </c>
      <c r="VH20" s="32">
        <f>AVERAGE(2,1,3,2,2,2,2)</f>
        <v>2</v>
      </c>
      <c r="VI20" s="32">
        <v>3</v>
      </c>
      <c r="VJ20" s="32">
        <v>1</v>
      </c>
      <c r="VK20" s="33">
        <f t="shared" si="123"/>
        <v>8</v>
      </c>
      <c r="VL20" s="32">
        <f>MEDIAN(2,1,3,2,2,2,2)</f>
        <v>2</v>
      </c>
      <c r="VM20">
        <f t="shared" si="124"/>
        <v>8</v>
      </c>
      <c r="VO20" s="165">
        <v>17</v>
      </c>
      <c r="VP20" s="32">
        <v>2</v>
      </c>
      <c r="VQ20" s="32">
        <f>AVERAGE(3,3,3,3)</f>
        <v>3</v>
      </c>
      <c r="VR20" s="32">
        <v>3</v>
      </c>
      <c r="VS20" s="32">
        <v>1</v>
      </c>
      <c r="VT20" s="33">
        <f t="shared" si="125"/>
        <v>9</v>
      </c>
      <c r="VU20" s="32">
        <f>MEDIAN(3,3,3,3)</f>
        <v>3</v>
      </c>
      <c r="VV20">
        <f t="shared" si="126"/>
        <v>9</v>
      </c>
    </row>
    <row r="21" spans="2:594" ht="15" thickBot="1" x14ac:dyDescent="0.4">
      <c r="B21" s="165">
        <v>18</v>
      </c>
      <c r="C21" s="32">
        <v>1</v>
      </c>
      <c r="D21" s="32">
        <f>AVERAGE(2,2,2,3,2,2,2,2,3,2)</f>
        <v>2.2000000000000002</v>
      </c>
      <c r="E21" s="32">
        <v>2</v>
      </c>
      <c r="F21" s="32">
        <v>1</v>
      </c>
      <c r="G21" s="33">
        <f t="shared" si="0"/>
        <v>6.2</v>
      </c>
      <c r="H21" s="32">
        <f>MEDIAN(2,2,2,3,2,2,2,2,3,2)</f>
        <v>2</v>
      </c>
      <c r="I21" s="75">
        <f t="shared" si="1"/>
        <v>6</v>
      </c>
      <c r="K21" s="165">
        <v>18</v>
      </c>
      <c r="L21" s="32">
        <v>1</v>
      </c>
      <c r="M21" s="32">
        <f>AVERAGE(2,2,2)</f>
        <v>2</v>
      </c>
      <c r="N21" s="32">
        <v>2</v>
      </c>
      <c r="O21" s="32">
        <v>2</v>
      </c>
      <c r="P21" s="33">
        <f t="shared" si="2"/>
        <v>7</v>
      </c>
      <c r="Q21" s="32">
        <f>MEDIAN(2,2,2)</f>
        <v>2</v>
      </c>
      <c r="R21" s="75">
        <f t="shared" si="3"/>
        <v>7</v>
      </c>
      <c r="T21" s="165">
        <v>18</v>
      </c>
      <c r="U21" s="32">
        <v>0</v>
      </c>
      <c r="V21" s="32">
        <f>AVERAGE(2,3,3,3,3,2,2,2,3,2,3,3)</f>
        <v>2.5833333333333335</v>
      </c>
      <c r="W21" s="32">
        <v>2</v>
      </c>
      <c r="X21" s="32">
        <v>1</v>
      </c>
      <c r="Y21" s="32">
        <f>MEDIAN(2,3,3,3,3,2,2,2,3,2,3,3)</f>
        <v>3</v>
      </c>
      <c r="Z21" s="18">
        <f t="shared" si="4"/>
        <v>6</v>
      </c>
      <c r="AB21" s="165">
        <v>18</v>
      </c>
      <c r="AC21" s="32">
        <v>1</v>
      </c>
      <c r="AD21" s="32">
        <f>AVERAGE(3,2,2,2,3,3,3,2,2,2,3)</f>
        <v>2.4545454545454546</v>
      </c>
      <c r="AE21" s="32">
        <v>3</v>
      </c>
      <c r="AF21" s="32">
        <v>2</v>
      </c>
      <c r="AG21" s="32">
        <f>MEDIAN(3,2,2,2,3,3,3,2,2,2,3)</f>
        <v>2</v>
      </c>
      <c r="AH21" s="18">
        <f t="shared" si="5"/>
        <v>8</v>
      </c>
      <c r="AJ21" s="165">
        <v>18</v>
      </c>
      <c r="AK21" s="32">
        <v>0</v>
      </c>
      <c r="AL21" s="32">
        <f>AVERAGE(2,2,2,3,2,2,3,2,3)</f>
        <v>2.3333333333333335</v>
      </c>
      <c r="AM21" s="32">
        <v>2</v>
      </c>
      <c r="AN21" s="32">
        <v>2</v>
      </c>
      <c r="AO21" s="33">
        <f t="shared" si="6"/>
        <v>6.3333333333333339</v>
      </c>
      <c r="AP21" s="32">
        <f>MEDIAN(2,2,2,3,2,2,3,2,3)</f>
        <v>2</v>
      </c>
      <c r="AQ21" s="75">
        <f t="shared" si="7"/>
        <v>6</v>
      </c>
      <c r="AS21" s="165">
        <v>18</v>
      </c>
      <c r="AT21" s="32">
        <v>0</v>
      </c>
      <c r="AU21" s="32">
        <f>AVERAGE(2,2,3,2)</f>
        <v>2.25</v>
      </c>
      <c r="AV21" s="32">
        <v>1</v>
      </c>
      <c r="AW21" s="32">
        <v>0</v>
      </c>
      <c r="AX21" s="33">
        <f t="shared" si="8"/>
        <v>3.25</v>
      </c>
      <c r="AY21" s="32">
        <f>MEDIAN(2,2,3,2)</f>
        <v>2</v>
      </c>
      <c r="AZ21" s="75">
        <f t="shared" si="9"/>
        <v>3</v>
      </c>
      <c r="BB21" s="165">
        <v>18</v>
      </c>
      <c r="BC21" s="32">
        <v>1</v>
      </c>
      <c r="BD21" s="32">
        <f>MEDIAN(3,2,2,2,2,3,3,2,1,2,2)</f>
        <v>2</v>
      </c>
      <c r="BE21" s="32">
        <v>0</v>
      </c>
      <c r="BF21" s="32">
        <v>0</v>
      </c>
      <c r="BG21" s="33">
        <f t="shared" si="10"/>
        <v>3</v>
      </c>
      <c r="BH21" s="32">
        <f>MEDIAN(3,2,2,2,2,3,3,2,1,2,2)</f>
        <v>2</v>
      </c>
      <c r="BI21" s="75">
        <f t="shared" si="11"/>
        <v>3</v>
      </c>
      <c r="BK21" s="165">
        <v>18</v>
      </c>
      <c r="BL21" s="32">
        <v>1</v>
      </c>
      <c r="BM21" s="32">
        <f>MEDIAN(3,3)</f>
        <v>3</v>
      </c>
      <c r="BN21" s="32">
        <v>0</v>
      </c>
      <c r="BO21" s="32">
        <v>0</v>
      </c>
      <c r="BP21" s="33">
        <f t="shared" si="12"/>
        <v>4</v>
      </c>
      <c r="BQ21" s="32">
        <f>MEDIAN(3,3)</f>
        <v>3</v>
      </c>
      <c r="BR21" s="75">
        <f t="shared" si="13"/>
        <v>4</v>
      </c>
      <c r="BT21" s="165">
        <v>18</v>
      </c>
      <c r="BU21" s="32">
        <v>0</v>
      </c>
      <c r="BV21" s="32">
        <f>MEDIAN(3,3,2,2,2,2,2,2,1,2,2,2)</f>
        <v>2</v>
      </c>
      <c r="BW21" s="32">
        <v>0</v>
      </c>
      <c r="BX21" s="32">
        <v>1</v>
      </c>
      <c r="BY21" s="33">
        <f t="shared" si="14"/>
        <v>3</v>
      </c>
      <c r="CB21" s="165">
        <v>18</v>
      </c>
      <c r="CC21" s="32">
        <v>1</v>
      </c>
      <c r="CD21" s="32">
        <f>MEDIAN(3,3,2,3,3)</f>
        <v>3</v>
      </c>
      <c r="CE21" s="32">
        <v>2</v>
      </c>
      <c r="CF21" s="32">
        <v>1</v>
      </c>
      <c r="CG21" s="33">
        <f t="shared" si="15"/>
        <v>7</v>
      </c>
      <c r="CJ21" s="165">
        <v>18</v>
      </c>
      <c r="CK21" s="32">
        <v>1</v>
      </c>
      <c r="CL21" s="32">
        <f>MEDIAN(1,3,2,2,2,2)</f>
        <v>2</v>
      </c>
      <c r="CM21" s="32">
        <v>2</v>
      </c>
      <c r="CN21" s="32">
        <v>2</v>
      </c>
      <c r="CO21" s="33">
        <f t="shared" si="16"/>
        <v>7</v>
      </c>
      <c r="CP21" s="32">
        <f>MEDIAN(1,3,2,2,2,2)</f>
        <v>2</v>
      </c>
      <c r="CQ21" s="75">
        <f t="shared" si="17"/>
        <v>7</v>
      </c>
      <c r="CS21" s="165">
        <v>18</v>
      </c>
      <c r="CT21" s="32">
        <v>0</v>
      </c>
      <c r="CU21" s="32">
        <f>MEDIAN(1,2,2,2,2,3,2,2,1,3)</f>
        <v>2</v>
      </c>
      <c r="CV21" s="32">
        <v>3</v>
      </c>
      <c r="CW21" s="32">
        <v>1</v>
      </c>
      <c r="CX21" s="33">
        <f t="shared" si="18"/>
        <v>6</v>
      </c>
      <c r="CY21" s="32">
        <f>MEDIAN(1,2,2,2,2,3,2,2,1,3)</f>
        <v>2</v>
      </c>
      <c r="CZ21" s="75">
        <f t="shared" si="19"/>
        <v>6</v>
      </c>
      <c r="DB21" s="165">
        <v>18</v>
      </c>
      <c r="DC21" s="32">
        <v>1</v>
      </c>
      <c r="DD21" s="32">
        <f>AVERAGE(3,3,2,3)</f>
        <v>2.75</v>
      </c>
      <c r="DE21" s="32">
        <v>2</v>
      </c>
      <c r="DF21" s="32">
        <v>0</v>
      </c>
      <c r="DG21" s="33">
        <f t="shared" si="20"/>
        <v>5.75</v>
      </c>
      <c r="DH21" s="32">
        <f>MEDIAN(3,3,2,3)</f>
        <v>3</v>
      </c>
      <c r="DI21" s="75">
        <f t="shared" si="21"/>
        <v>6</v>
      </c>
      <c r="DK21" s="165">
        <v>18</v>
      </c>
      <c r="DL21" s="32">
        <v>0</v>
      </c>
      <c r="DM21" s="32">
        <f>AVERAGE(3,2,2,2,2,3,2,1,2,2,3)</f>
        <v>2.1818181818181817</v>
      </c>
      <c r="DN21" s="32">
        <v>3</v>
      </c>
      <c r="DO21" s="32">
        <v>0</v>
      </c>
      <c r="DP21" s="33">
        <f t="shared" si="22"/>
        <v>5.1818181818181817</v>
      </c>
      <c r="DQ21" s="32">
        <f>MEDIAN(3,2,2,2,2,3,2,1,2,2,3)</f>
        <v>2</v>
      </c>
      <c r="DR21" s="75">
        <f t="shared" si="23"/>
        <v>5</v>
      </c>
      <c r="DT21" s="165">
        <v>18</v>
      </c>
      <c r="DU21" s="32">
        <v>1</v>
      </c>
      <c r="DV21" s="32">
        <f>AVERAGE(3,3,2,2,2,3,2,3,1,2)</f>
        <v>2.2999999999999998</v>
      </c>
      <c r="DW21" s="32">
        <v>2</v>
      </c>
      <c r="DX21" s="32">
        <v>1</v>
      </c>
      <c r="DY21" s="33">
        <f t="shared" si="24"/>
        <v>6.3</v>
      </c>
      <c r="DZ21" s="32">
        <f>MEDIAN(3,3,2,2,2,3,2,3,1,2)</f>
        <v>2</v>
      </c>
      <c r="EA21" s="75">
        <f t="shared" si="25"/>
        <v>6</v>
      </c>
      <c r="EC21" s="165">
        <v>18</v>
      </c>
      <c r="ED21" s="32">
        <v>1</v>
      </c>
      <c r="EE21" s="32">
        <f>AVERAGE(3,3,2,3,3,3)</f>
        <v>2.8333333333333335</v>
      </c>
      <c r="EF21" s="32">
        <v>3</v>
      </c>
      <c r="EG21" s="32">
        <v>1</v>
      </c>
      <c r="EH21" s="33">
        <f t="shared" si="26"/>
        <v>7.8333333333333339</v>
      </c>
      <c r="EI21" s="32">
        <f>MEDIAN(3,3,2,3,3,3)</f>
        <v>3</v>
      </c>
      <c r="EJ21" s="75">
        <f t="shared" si="27"/>
        <v>8</v>
      </c>
      <c r="EL21" s="165">
        <v>18</v>
      </c>
      <c r="EM21" s="32">
        <v>0</v>
      </c>
      <c r="EN21" s="32">
        <f>AVERAGE(2,2,2,2,2,2,2,2,2,2,2)</f>
        <v>2</v>
      </c>
      <c r="EO21" s="32">
        <v>1</v>
      </c>
      <c r="EP21" s="32">
        <v>0</v>
      </c>
      <c r="EQ21" s="33">
        <f t="shared" si="28"/>
        <v>3</v>
      </c>
      <c r="ER21" s="197">
        <f>MEDIAN(2,2,2,2,2,2,2,2,2,2,2)</f>
        <v>2</v>
      </c>
      <c r="ES21">
        <f t="shared" si="29"/>
        <v>3</v>
      </c>
      <c r="EU21" s="165">
        <v>18</v>
      </c>
      <c r="EV21" s="32">
        <v>0</v>
      </c>
      <c r="EW21" s="32">
        <f>AVERAGE(3,2,2,2,3,2,3,2,2,2,3,2,2,2,2,2)</f>
        <v>2.25</v>
      </c>
      <c r="EX21" s="32">
        <v>1</v>
      </c>
      <c r="EY21" s="32">
        <v>1</v>
      </c>
      <c r="EZ21" s="33">
        <f t="shared" si="30"/>
        <v>4.25</v>
      </c>
      <c r="FA21" s="197">
        <f>MEDIAN(3,2,2,2,3,2,3,2,2,2,3,2,2,2,2,2)</f>
        <v>2</v>
      </c>
      <c r="FB21">
        <f t="shared" si="31"/>
        <v>4</v>
      </c>
      <c r="FD21" s="165">
        <v>18</v>
      </c>
      <c r="FE21" s="32">
        <v>0</v>
      </c>
      <c r="FF21" s="32">
        <f>AVERAGE(3,3,3,3,3,2,3,3,3,3)</f>
        <v>2.9</v>
      </c>
      <c r="FG21" s="32">
        <v>1</v>
      </c>
      <c r="FH21" s="32">
        <v>1</v>
      </c>
      <c r="FI21" s="33">
        <f t="shared" si="32"/>
        <v>4.9000000000000004</v>
      </c>
      <c r="FJ21" s="197">
        <f>MEDIAN(3,3,3,3,3,2,3,3,3,3)</f>
        <v>3</v>
      </c>
      <c r="FK21">
        <f t="shared" si="33"/>
        <v>5</v>
      </c>
      <c r="FM21" s="165">
        <v>18</v>
      </c>
      <c r="FN21" s="32">
        <v>2</v>
      </c>
      <c r="FO21" s="32">
        <f>AVERAGE(3,3,3,3,3,3,2,2,2)</f>
        <v>2.6666666666666665</v>
      </c>
      <c r="FP21" s="32">
        <v>3</v>
      </c>
      <c r="FQ21" s="32">
        <v>1</v>
      </c>
      <c r="FR21" s="33">
        <f t="shared" si="34"/>
        <v>8.6666666666666661</v>
      </c>
      <c r="FS21" s="197">
        <f>MEDIAN(3,3,3,3,3,3,2,2,2)</f>
        <v>3</v>
      </c>
      <c r="FT21">
        <f t="shared" si="35"/>
        <v>9</v>
      </c>
      <c r="FV21" s="165">
        <v>18</v>
      </c>
      <c r="FW21" s="32">
        <v>1</v>
      </c>
      <c r="FX21" s="32">
        <f>MEDIAN(3,3,3,3,3,3,3,3,3,3,3)</f>
        <v>3</v>
      </c>
      <c r="FY21" s="32">
        <v>3</v>
      </c>
      <c r="FZ21" s="32">
        <v>1</v>
      </c>
      <c r="GA21" s="33">
        <f t="shared" si="36"/>
        <v>8</v>
      </c>
      <c r="GB21" s="32">
        <f>MEDIAN(3,3,3,3,3,3,3,3,3,3,3)</f>
        <v>3</v>
      </c>
      <c r="GC21">
        <f t="shared" si="37"/>
        <v>8</v>
      </c>
      <c r="GE21" s="165">
        <v>18</v>
      </c>
      <c r="GF21" s="32">
        <v>1</v>
      </c>
      <c r="GG21" s="32">
        <f>MEDIAN(3,3,3,3)</f>
        <v>3</v>
      </c>
      <c r="GH21" s="32">
        <v>0</v>
      </c>
      <c r="GI21" s="32">
        <v>0</v>
      </c>
      <c r="GJ21" s="18">
        <f t="shared" si="38"/>
        <v>4</v>
      </c>
      <c r="GK21" s="32">
        <f>MEDIAN(3,3,3,3)</f>
        <v>3</v>
      </c>
      <c r="GL21">
        <f t="shared" si="39"/>
        <v>4</v>
      </c>
      <c r="GN21" s="165">
        <v>18</v>
      </c>
      <c r="GO21" s="32">
        <v>1</v>
      </c>
      <c r="GP21" s="32">
        <f>AVERAGE(3,3,3,3,3,2)</f>
        <v>2.8333333333333335</v>
      </c>
      <c r="GQ21" s="32">
        <v>0</v>
      </c>
      <c r="GR21" s="32">
        <v>0</v>
      </c>
      <c r="GS21" s="33">
        <f t="shared" si="40"/>
        <v>3.8333333333333335</v>
      </c>
      <c r="GT21" s="196">
        <f>MEDIAN(3,3,3,3,3,2)</f>
        <v>3</v>
      </c>
      <c r="GU21" s="32">
        <f t="shared" si="41"/>
        <v>4</v>
      </c>
      <c r="GW21" s="165">
        <v>18</v>
      </c>
      <c r="GX21" s="32">
        <v>0</v>
      </c>
      <c r="GY21" s="32">
        <f>AVERAGE(3,3,3)</f>
        <v>3</v>
      </c>
      <c r="GZ21" s="32">
        <v>1</v>
      </c>
      <c r="HA21" s="32">
        <v>0</v>
      </c>
      <c r="HB21" s="33">
        <f t="shared" si="42"/>
        <v>4</v>
      </c>
      <c r="HC21" s="196">
        <f>MEDIAN(3,3,3)</f>
        <v>3</v>
      </c>
      <c r="HD21">
        <f t="shared" si="43"/>
        <v>4</v>
      </c>
      <c r="HF21" s="165">
        <v>18</v>
      </c>
      <c r="HG21" s="32">
        <v>0</v>
      </c>
      <c r="HH21" s="32">
        <f>AVERAGE(3,3,3,2,3,3,3,3,2,3,2)</f>
        <v>2.7272727272727271</v>
      </c>
      <c r="HI21" s="32">
        <v>2</v>
      </c>
      <c r="HJ21" s="32">
        <v>1</v>
      </c>
      <c r="HK21" s="33">
        <f t="shared" si="44"/>
        <v>5.7272727272727266</v>
      </c>
      <c r="HL21" s="32">
        <f>MEDIAN(3,3,3,2,3,3,3,3,2,3,2)</f>
        <v>3</v>
      </c>
      <c r="HM21">
        <f t="shared" si="45"/>
        <v>6</v>
      </c>
      <c r="HO21" s="165">
        <v>18</v>
      </c>
      <c r="HP21" s="32">
        <v>0</v>
      </c>
      <c r="HQ21" s="32">
        <f>AVERAGE(3,3,2,2,2,3,3)</f>
        <v>2.5714285714285716</v>
      </c>
      <c r="HR21" s="32">
        <v>2</v>
      </c>
      <c r="HS21" s="32">
        <v>2</v>
      </c>
      <c r="HT21" s="33">
        <f t="shared" si="46"/>
        <v>6.5714285714285712</v>
      </c>
      <c r="HU21" s="32">
        <f>MEDIAN(3,3,2,2,2,3,3)</f>
        <v>3</v>
      </c>
      <c r="HV21">
        <f t="shared" si="47"/>
        <v>7</v>
      </c>
      <c r="HX21" s="165">
        <v>18</v>
      </c>
      <c r="HY21" s="32">
        <v>0</v>
      </c>
      <c r="HZ21" s="32">
        <f>MEDIAN(2,2,2,2,2,2,3,2,2,2,3,3,2,2,3)</f>
        <v>2</v>
      </c>
      <c r="IA21" s="32">
        <v>0</v>
      </c>
      <c r="IB21" s="32">
        <v>0</v>
      </c>
      <c r="IC21" s="33">
        <f t="shared" si="48"/>
        <v>2</v>
      </c>
      <c r="ID21" s="32">
        <f>MEDIAN(2,2,2,2,2,2,3,2,2,2,3,3,2,2,3)</f>
        <v>2</v>
      </c>
      <c r="IE21">
        <f t="shared" si="49"/>
        <v>2</v>
      </c>
      <c r="IG21" s="165">
        <v>18</v>
      </c>
      <c r="IH21" s="32">
        <v>0</v>
      </c>
      <c r="II21" s="32">
        <f>MEDIAN(3,3,3,3,2,3,3,2,3)</f>
        <v>3</v>
      </c>
      <c r="IJ21" s="32">
        <v>1</v>
      </c>
      <c r="IK21" s="32">
        <v>0</v>
      </c>
      <c r="IL21" s="33">
        <f t="shared" si="50"/>
        <v>4</v>
      </c>
      <c r="IM21" s="32">
        <f>MEDIAN(3,3,3,3,2,3,3,2,3)</f>
        <v>3</v>
      </c>
      <c r="IN21">
        <f t="shared" si="51"/>
        <v>4</v>
      </c>
      <c r="IP21" s="165">
        <v>18</v>
      </c>
      <c r="IQ21" s="32">
        <v>1</v>
      </c>
      <c r="IR21" s="32">
        <f>AVERAGE(3,2,3,3,3,3,2)</f>
        <v>2.7142857142857144</v>
      </c>
      <c r="IS21" s="32">
        <v>0</v>
      </c>
      <c r="IT21" s="32">
        <v>0</v>
      </c>
      <c r="IU21" s="33">
        <f t="shared" si="52"/>
        <v>3.7142857142857144</v>
      </c>
      <c r="IV21" s="32">
        <f>MEDIAN(3,2,3,3,3,3,2)</f>
        <v>3</v>
      </c>
      <c r="IW21">
        <f t="shared" si="53"/>
        <v>4</v>
      </c>
      <c r="IY21" s="165">
        <v>18</v>
      </c>
      <c r="IZ21" s="32">
        <v>1</v>
      </c>
      <c r="JA21" s="32">
        <f>AVERAGE(3,3,3,2,2)</f>
        <v>2.6</v>
      </c>
      <c r="JB21" s="32">
        <v>1</v>
      </c>
      <c r="JC21" s="32">
        <v>1</v>
      </c>
      <c r="JD21" s="33">
        <f t="shared" si="54"/>
        <v>5.6</v>
      </c>
      <c r="JE21" s="32">
        <f>MEDIAN(3,3,3,2,2)</f>
        <v>3</v>
      </c>
      <c r="JF21">
        <f t="shared" si="55"/>
        <v>6</v>
      </c>
      <c r="JH21" s="165">
        <v>18</v>
      </c>
      <c r="JI21" s="32">
        <v>1</v>
      </c>
      <c r="JJ21" s="32">
        <f>MEDIAN(3,3,3,3,3,3,3,3)</f>
        <v>3</v>
      </c>
      <c r="JK21" s="32">
        <v>2</v>
      </c>
      <c r="JL21" s="32">
        <v>1</v>
      </c>
      <c r="JM21" s="33">
        <f t="shared" si="56"/>
        <v>7</v>
      </c>
      <c r="JN21" s="32">
        <f>MEDIAN(3,3,3,3,3,3,3,3)</f>
        <v>3</v>
      </c>
      <c r="JO21">
        <f t="shared" si="57"/>
        <v>7</v>
      </c>
      <c r="JQ21" s="165">
        <v>18</v>
      </c>
      <c r="JR21" s="32">
        <v>0</v>
      </c>
      <c r="JS21" s="32">
        <f>MEDIAN(3,3,3,3,3,3,3,3,2)</f>
        <v>3</v>
      </c>
      <c r="JT21" s="32">
        <v>0</v>
      </c>
      <c r="JU21" s="32">
        <v>0</v>
      </c>
      <c r="JV21" s="33">
        <f t="shared" si="58"/>
        <v>3</v>
      </c>
      <c r="JW21" s="32">
        <f>MEDIAN(3,3,3,3,3,3,3,3,2)</f>
        <v>3</v>
      </c>
      <c r="JX21">
        <f t="shared" si="59"/>
        <v>3</v>
      </c>
      <c r="JZ21" s="165">
        <v>18</v>
      </c>
      <c r="KA21" s="32">
        <v>0</v>
      </c>
      <c r="KB21" s="32">
        <f>AVERAGE(3,3,3,3,3,3,3,3)</f>
        <v>3</v>
      </c>
      <c r="KC21" s="32">
        <v>0</v>
      </c>
      <c r="KD21" s="32">
        <v>0</v>
      </c>
      <c r="KE21" s="33">
        <f t="shared" si="60"/>
        <v>3</v>
      </c>
      <c r="KF21" s="32">
        <f>MEDIAN(3,3,3,3,3,3,3,3)</f>
        <v>3</v>
      </c>
      <c r="KG21">
        <f t="shared" si="61"/>
        <v>3</v>
      </c>
      <c r="KI21" s="165">
        <v>18</v>
      </c>
      <c r="KJ21" s="32">
        <v>0</v>
      </c>
      <c r="KK21" s="32">
        <f>AVERAGE(3,2,2,3)</f>
        <v>2.5</v>
      </c>
      <c r="KL21" s="32">
        <v>3</v>
      </c>
      <c r="KM21" s="32">
        <v>1</v>
      </c>
      <c r="KN21" s="33">
        <f t="shared" si="62"/>
        <v>6.5</v>
      </c>
      <c r="KO21" s="32">
        <f>MEDIAN(3,2,2,3)</f>
        <v>2.5</v>
      </c>
      <c r="KP21">
        <f t="shared" si="63"/>
        <v>6.5</v>
      </c>
      <c r="KR21" s="165">
        <v>18</v>
      </c>
      <c r="KS21" s="32">
        <v>1</v>
      </c>
      <c r="KT21" s="32">
        <f>AVERAGE(3,3,3,2)</f>
        <v>2.75</v>
      </c>
      <c r="KU21" s="32">
        <v>3</v>
      </c>
      <c r="KV21" s="32">
        <v>3</v>
      </c>
      <c r="KW21" s="33">
        <f t="shared" si="64"/>
        <v>9.75</v>
      </c>
      <c r="KX21" s="32">
        <f>MEDIAN(3,3,3,2)</f>
        <v>3</v>
      </c>
      <c r="KY21">
        <f t="shared" si="65"/>
        <v>10</v>
      </c>
      <c r="LA21" s="165">
        <v>18</v>
      </c>
      <c r="LB21" s="32">
        <v>1</v>
      </c>
      <c r="LC21" s="32">
        <f>AVERAGE(3,3,3,3,3,3,2)</f>
        <v>2.8571428571428572</v>
      </c>
      <c r="LD21" s="32">
        <v>3</v>
      </c>
      <c r="LE21" s="32">
        <v>2</v>
      </c>
      <c r="LF21" s="33">
        <f t="shared" si="66"/>
        <v>8.8571428571428577</v>
      </c>
      <c r="LG21" s="32">
        <f>MEDIAN(3,3,3,3,3,3,2)</f>
        <v>3</v>
      </c>
      <c r="LH21">
        <f t="shared" si="67"/>
        <v>9</v>
      </c>
      <c r="LK21" s="165">
        <v>18</v>
      </c>
      <c r="LL21" s="32">
        <v>1</v>
      </c>
      <c r="LM21" s="32">
        <f>AVERAGE(3,3,3,2)</f>
        <v>2.75</v>
      </c>
      <c r="LN21" s="32">
        <v>2</v>
      </c>
      <c r="LO21" s="32">
        <v>1</v>
      </c>
      <c r="LP21" s="33">
        <f t="shared" si="68"/>
        <v>6.75</v>
      </c>
      <c r="LQ21" s="32">
        <f>MEDIAN(3,3,3,2)</f>
        <v>3</v>
      </c>
      <c r="LR21">
        <f t="shared" si="69"/>
        <v>7</v>
      </c>
      <c r="LT21" s="165">
        <v>18</v>
      </c>
      <c r="LU21" s="32">
        <v>2</v>
      </c>
      <c r="LV21" s="32">
        <f>AVERAGE(3,3,3,2,3,2)</f>
        <v>2.6666666666666665</v>
      </c>
      <c r="LW21" s="32">
        <v>3</v>
      </c>
      <c r="LX21" s="32">
        <v>1</v>
      </c>
      <c r="LY21" s="33">
        <f t="shared" si="70"/>
        <v>8.6666666666666661</v>
      </c>
      <c r="LZ21" s="32">
        <f>MEDIAN(3,3,3,2,3,2)</f>
        <v>3</v>
      </c>
      <c r="MA21">
        <f t="shared" si="71"/>
        <v>9</v>
      </c>
      <c r="MC21" s="165">
        <v>18</v>
      </c>
      <c r="MD21" s="32">
        <v>0</v>
      </c>
      <c r="ME21" s="32">
        <f>AVERAGE(3,3,2,2,3,3,3,2)</f>
        <v>2.625</v>
      </c>
      <c r="MF21" s="32">
        <v>1</v>
      </c>
      <c r="MG21" s="32">
        <v>0</v>
      </c>
      <c r="MH21" s="33">
        <f t="shared" si="72"/>
        <v>3.625</v>
      </c>
      <c r="MI21" s="32">
        <f>MEDIAN(3,3,2,2,3,3,3,2)</f>
        <v>3</v>
      </c>
      <c r="MJ21">
        <f t="shared" si="73"/>
        <v>4</v>
      </c>
      <c r="ML21" s="165">
        <v>18</v>
      </c>
      <c r="MM21" s="32">
        <v>1</v>
      </c>
      <c r="MN21" s="32">
        <f>AVERAGE(3,3,3,3,3,3,3,3,3,3,3,3,3,3,3)</f>
        <v>3</v>
      </c>
      <c r="MO21" s="32">
        <v>3</v>
      </c>
      <c r="MP21" s="32">
        <v>1</v>
      </c>
      <c r="MQ21" s="33">
        <f t="shared" si="74"/>
        <v>8</v>
      </c>
      <c r="MR21" s="32">
        <f>MEDIAN(3,3,3,3,3,3,3,3,3,3,3,3,3,3,3)</f>
        <v>3</v>
      </c>
      <c r="MS21">
        <f t="shared" si="75"/>
        <v>8</v>
      </c>
      <c r="MU21" s="165">
        <v>18</v>
      </c>
      <c r="MV21" s="32">
        <v>2</v>
      </c>
      <c r="MW21" s="32">
        <f>MEDIAN(3,3,3,3,3,2,3,3,2,3,3,3,2,3)</f>
        <v>3</v>
      </c>
      <c r="MX21" s="32">
        <v>2</v>
      </c>
      <c r="MY21" s="32">
        <v>1</v>
      </c>
      <c r="MZ21" s="33">
        <f t="shared" si="76"/>
        <v>8</v>
      </c>
      <c r="NA21" s="32">
        <f>MEDIAN(3,3,3,3,3,2,3,3,2,3,3,3,2,3)</f>
        <v>3</v>
      </c>
      <c r="NB21">
        <f t="shared" si="77"/>
        <v>8</v>
      </c>
      <c r="ND21" s="165">
        <v>18</v>
      </c>
      <c r="NE21" s="32">
        <v>0</v>
      </c>
      <c r="NF21" s="32">
        <f>MEDIAN(2,3,3,3,2,2,3,3,3,2)</f>
        <v>3</v>
      </c>
      <c r="NG21" s="32">
        <v>2</v>
      </c>
      <c r="NH21" s="32">
        <v>2</v>
      </c>
      <c r="NI21" s="33">
        <f t="shared" si="78"/>
        <v>7</v>
      </c>
      <c r="NJ21" s="32">
        <f>MEDIAN(2,3,3,3,2,2,3,3,3,2)</f>
        <v>3</v>
      </c>
      <c r="NK21">
        <f t="shared" si="79"/>
        <v>7</v>
      </c>
      <c r="NM21" s="165">
        <v>18</v>
      </c>
      <c r="NN21" s="32">
        <v>0</v>
      </c>
      <c r="NO21" s="32">
        <f>AVERAGE(3,3,3,3,3,3,3,2,3,3)</f>
        <v>2.9</v>
      </c>
      <c r="NP21" s="32">
        <v>2</v>
      </c>
      <c r="NQ21" s="32">
        <v>1</v>
      </c>
      <c r="NR21" s="33">
        <f t="shared" si="80"/>
        <v>5.9</v>
      </c>
      <c r="NS21" s="32">
        <f>MEDIAN(3,3,3,3,3,3,3,2,3,3)</f>
        <v>3</v>
      </c>
      <c r="NT21">
        <f t="shared" si="81"/>
        <v>6</v>
      </c>
      <c r="NV21" s="165">
        <v>18</v>
      </c>
      <c r="NW21" s="32">
        <v>1</v>
      </c>
      <c r="NX21" s="32">
        <f>AVERAGE(3,3,3,3,3)</f>
        <v>3</v>
      </c>
      <c r="NY21" s="32">
        <v>3</v>
      </c>
      <c r="NZ21" s="32">
        <v>1</v>
      </c>
      <c r="OA21" s="33">
        <f t="shared" si="82"/>
        <v>8</v>
      </c>
      <c r="OB21" s="32">
        <f>MEDIAN(3,3,3,3,3)</f>
        <v>3</v>
      </c>
      <c r="OC21">
        <f t="shared" si="83"/>
        <v>8</v>
      </c>
      <c r="OE21" s="165">
        <v>18</v>
      </c>
      <c r="OF21" s="32">
        <v>1</v>
      </c>
      <c r="OG21" s="32">
        <f>MEDIAN(3,3,3,3)</f>
        <v>3</v>
      </c>
      <c r="OH21" s="32">
        <v>3</v>
      </c>
      <c r="OI21" s="32">
        <v>2</v>
      </c>
      <c r="OJ21" s="33">
        <f t="shared" si="84"/>
        <v>9</v>
      </c>
      <c r="OK21" s="32">
        <f>MEDIAN(3,3,3,3)</f>
        <v>3</v>
      </c>
      <c r="OL21">
        <f t="shared" si="85"/>
        <v>9</v>
      </c>
      <c r="ON21" s="165">
        <v>18</v>
      </c>
      <c r="OO21" s="32">
        <v>1</v>
      </c>
      <c r="OP21" s="32">
        <f>MEDIAN(3,3,3,3,3,2)</f>
        <v>3</v>
      </c>
      <c r="OQ21" s="32">
        <v>1</v>
      </c>
      <c r="OR21" s="32">
        <v>0</v>
      </c>
      <c r="OS21" s="33">
        <f t="shared" si="86"/>
        <v>5</v>
      </c>
      <c r="OT21" s="32">
        <f>MEDIAN(3,3,3,3,3,2)</f>
        <v>3</v>
      </c>
      <c r="OU21">
        <f t="shared" si="87"/>
        <v>5</v>
      </c>
      <c r="OW21" s="165">
        <v>18</v>
      </c>
      <c r="OX21" s="32">
        <v>1</v>
      </c>
      <c r="OY21" s="32">
        <f>AVERAGE(2,2,3,2,3,2)</f>
        <v>2.3333333333333335</v>
      </c>
      <c r="OZ21" s="32">
        <v>3</v>
      </c>
      <c r="PA21" s="32">
        <v>2</v>
      </c>
      <c r="PB21" s="33">
        <f t="shared" si="88"/>
        <v>8.3333333333333339</v>
      </c>
      <c r="PC21" s="32">
        <f>MEDIAN(2,2,3,2,3,2)</f>
        <v>2</v>
      </c>
      <c r="PD21">
        <f t="shared" si="89"/>
        <v>8</v>
      </c>
      <c r="PF21" s="165">
        <v>18</v>
      </c>
      <c r="PG21" s="32">
        <v>1</v>
      </c>
      <c r="PH21" s="32">
        <f>AVERAGE(2,0,2,3)</f>
        <v>1.75</v>
      </c>
      <c r="PI21" s="32">
        <v>2</v>
      </c>
      <c r="PJ21" s="32">
        <v>1</v>
      </c>
      <c r="PK21" s="33">
        <f t="shared" si="90"/>
        <v>5.75</v>
      </c>
      <c r="PL21" s="32">
        <f>MEDIAN(2,0,2,3)</f>
        <v>2</v>
      </c>
      <c r="PM21">
        <f t="shared" si="91"/>
        <v>6</v>
      </c>
      <c r="PO21" s="165">
        <v>18</v>
      </c>
      <c r="PP21" s="32">
        <v>0</v>
      </c>
      <c r="PQ21" s="32">
        <f>MEDIAN(2,2,2,1,2,2,2)</f>
        <v>2</v>
      </c>
      <c r="PR21" s="32">
        <v>1</v>
      </c>
      <c r="PS21" s="32">
        <v>1</v>
      </c>
      <c r="PT21" s="33">
        <f t="shared" si="92"/>
        <v>4</v>
      </c>
      <c r="PV21" s="165">
        <v>18</v>
      </c>
      <c r="PW21" s="32">
        <v>2</v>
      </c>
      <c r="PX21" s="32">
        <f>MEDIAN(2,3,3,3,2)</f>
        <v>3</v>
      </c>
      <c r="PY21" s="32">
        <v>3</v>
      </c>
      <c r="PZ21" s="32">
        <v>1</v>
      </c>
      <c r="QA21" s="33">
        <f t="shared" si="93"/>
        <v>9</v>
      </c>
      <c r="QB21" s="32">
        <f>MEDIAN(2,3,3,3,2)</f>
        <v>3</v>
      </c>
      <c r="QC21">
        <f t="shared" si="94"/>
        <v>9</v>
      </c>
      <c r="QE21" s="165">
        <v>18</v>
      </c>
      <c r="QF21" s="32">
        <v>0</v>
      </c>
      <c r="QG21" s="32">
        <f>MEDIAN(2,2,2,2)</f>
        <v>2</v>
      </c>
      <c r="QH21" s="32">
        <v>1</v>
      </c>
      <c r="QI21" s="32">
        <v>0</v>
      </c>
      <c r="QJ21" s="33">
        <f t="shared" si="95"/>
        <v>3</v>
      </c>
      <c r="QK21" s="32">
        <f>MEDIAN(2,2,2,2)</f>
        <v>2</v>
      </c>
      <c r="QL21">
        <f t="shared" si="96"/>
        <v>3</v>
      </c>
      <c r="QN21" s="165">
        <v>18</v>
      </c>
      <c r="QO21" s="32">
        <v>2</v>
      </c>
      <c r="QP21" s="32">
        <f>MEDIAN(3,2,3,2,3,3,3,2)</f>
        <v>3</v>
      </c>
      <c r="QQ21" s="32">
        <v>3</v>
      </c>
      <c r="QR21" s="32">
        <v>1</v>
      </c>
      <c r="QS21" s="33">
        <f t="shared" si="97"/>
        <v>9</v>
      </c>
      <c r="QT21" s="32">
        <f>MEDIAN(3,2,3,2,3,3,3,2)</f>
        <v>3</v>
      </c>
      <c r="QU21">
        <f t="shared" si="98"/>
        <v>9</v>
      </c>
      <c r="QW21" s="165">
        <v>18</v>
      </c>
      <c r="QX21" s="32">
        <v>1</v>
      </c>
      <c r="QY21" s="32">
        <f>AVERAGE(2,3,3,3,3,3,3,3,2,3,3,3,2)</f>
        <v>2.7692307692307692</v>
      </c>
      <c r="QZ21" s="32">
        <v>2</v>
      </c>
      <c r="RA21" s="32">
        <v>2</v>
      </c>
      <c r="RB21" s="33">
        <f t="shared" si="99"/>
        <v>7.7692307692307692</v>
      </c>
      <c r="RC21" s="32">
        <f>MEDIAN(2,3,3,3,3,3,3,3,2,3,3,3,2)</f>
        <v>3</v>
      </c>
      <c r="RD21">
        <f t="shared" si="100"/>
        <v>8</v>
      </c>
      <c r="RF21" s="165">
        <v>18</v>
      </c>
      <c r="RG21" s="32">
        <v>1</v>
      </c>
      <c r="RH21" s="32">
        <f>AVERAGE(3,3,3,3)</f>
        <v>3</v>
      </c>
      <c r="RI21" s="32">
        <v>1</v>
      </c>
      <c r="RJ21" s="32">
        <v>1</v>
      </c>
      <c r="RK21" s="33">
        <f t="shared" si="101"/>
        <v>6</v>
      </c>
      <c r="RL21" s="32">
        <f>MEDIAN(3,3,3,3)</f>
        <v>3</v>
      </c>
      <c r="RM21">
        <f t="shared" si="102"/>
        <v>6</v>
      </c>
      <c r="RO21" s="165">
        <v>18</v>
      </c>
      <c r="RP21" s="32">
        <v>2</v>
      </c>
      <c r="RQ21" s="32">
        <f>AVERAGE(3,3,3,3,3,2,2,3,3,3,2,3)</f>
        <v>2.75</v>
      </c>
      <c r="RR21" s="32">
        <v>3</v>
      </c>
      <c r="RS21" s="32">
        <v>3</v>
      </c>
      <c r="RT21" s="33">
        <f t="shared" si="103"/>
        <v>10.75</v>
      </c>
      <c r="RU21" s="32">
        <f>MEDIAN(3,3,3,3,3,2,2,3,3,3,2,3)</f>
        <v>3</v>
      </c>
      <c r="RV21">
        <f t="shared" si="104"/>
        <v>11</v>
      </c>
      <c r="RX21" s="165">
        <v>18</v>
      </c>
      <c r="RY21" s="32">
        <v>1</v>
      </c>
      <c r="RZ21" s="32">
        <f>AVERAGE(2,3,3,3,3,3,3,3,3)</f>
        <v>2.8888888888888888</v>
      </c>
      <c r="SA21" s="32">
        <v>3</v>
      </c>
      <c r="SB21" s="32">
        <v>3</v>
      </c>
      <c r="SC21" s="33">
        <f t="shared" si="105"/>
        <v>9.8888888888888893</v>
      </c>
      <c r="SD21" s="32">
        <f>MEDIAN(2,3,3,3,3,3,3,3,3)</f>
        <v>3</v>
      </c>
      <c r="SE21">
        <f t="shared" si="106"/>
        <v>10</v>
      </c>
      <c r="SG21" s="165">
        <v>18</v>
      </c>
      <c r="SH21" s="32">
        <v>2</v>
      </c>
      <c r="SI21" s="32">
        <f>MEDIAN(3,3,2,2)</f>
        <v>2.5</v>
      </c>
      <c r="SJ21" s="32">
        <v>3</v>
      </c>
      <c r="SK21" s="32">
        <v>1</v>
      </c>
      <c r="SL21" s="33">
        <f t="shared" si="107"/>
        <v>8.5</v>
      </c>
      <c r="SM21" s="32">
        <f>MEDIAN(3,3,2,2)</f>
        <v>2.5</v>
      </c>
      <c r="SN21">
        <f t="shared" si="108"/>
        <v>8.5</v>
      </c>
      <c r="SP21" s="165">
        <v>18</v>
      </c>
      <c r="SQ21" s="32">
        <v>1</v>
      </c>
      <c r="SR21" s="32">
        <f>MEDIAN(3,3,3,3,3,3,3,3)</f>
        <v>3</v>
      </c>
      <c r="SS21" s="32">
        <v>0</v>
      </c>
      <c r="ST21" s="32">
        <v>0</v>
      </c>
      <c r="SU21" s="33">
        <f t="shared" si="109"/>
        <v>4</v>
      </c>
      <c r="SV21" s="32">
        <f>MEDIAN(3,3,3,3,3,3,3,3)</f>
        <v>3</v>
      </c>
      <c r="SW21">
        <f t="shared" si="110"/>
        <v>4</v>
      </c>
      <c r="SY21" s="165">
        <v>18</v>
      </c>
      <c r="SZ21" s="32">
        <v>1</v>
      </c>
      <c r="TA21" s="32">
        <f>AVERAGE(3,3,3,3,2)</f>
        <v>2.8</v>
      </c>
      <c r="TB21" s="32">
        <v>3</v>
      </c>
      <c r="TC21" s="32">
        <v>1</v>
      </c>
      <c r="TD21" s="33">
        <f t="shared" si="111"/>
        <v>7.8</v>
      </c>
      <c r="TE21" s="32">
        <f>MEDIAN(3,3,3,3,2)</f>
        <v>3</v>
      </c>
      <c r="TF21">
        <f t="shared" si="112"/>
        <v>8</v>
      </c>
      <c r="TH21" s="165">
        <v>18</v>
      </c>
      <c r="TI21" s="32">
        <v>1</v>
      </c>
      <c r="TJ21" s="32">
        <f>MEDIAN(3,2,3,3,2)</f>
        <v>3</v>
      </c>
      <c r="TK21" s="32">
        <v>3</v>
      </c>
      <c r="TL21" s="32">
        <v>3</v>
      </c>
      <c r="TM21" s="33">
        <f t="shared" si="113"/>
        <v>10</v>
      </c>
      <c r="TN21" s="32">
        <f>MEDIAN(3,2,3,3,2)</f>
        <v>3</v>
      </c>
      <c r="TO21">
        <f t="shared" si="114"/>
        <v>10</v>
      </c>
      <c r="TQ21" s="165">
        <v>18</v>
      </c>
      <c r="TR21" s="32">
        <v>2</v>
      </c>
      <c r="TS21" s="32">
        <f>MEDIAN(3,3,3,3,3,3,3)</f>
        <v>3</v>
      </c>
      <c r="TT21" s="32">
        <v>3</v>
      </c>
      <c r="TU21" s="32">
        <v>2</v>
      </c>
      <c r="TV21" s="33">
        <f t="shared" si="115"/>
        <v>10</v>
      </c>
      <c r="TX21" s="165">
        <v>18</v>
      </c>
      <c r="TY21" s="32">
        <v>1</v>
      </c>
      <c r="TZ21" s="32">
        <f>MEDIAN(3,3,2,2,3,3,3,2)</f>
        <v>3</v>
      </c>
      <c r="UA21" s="32">
        <v>0</v>
      </c>
      <c r="UB21" s="32">
        <v>1</v>
      </c>
      <c r="UC21" s="33">
        <f t="shared" si="116"/>
        <v>5</v>
      </c>
      <c r="UD21" s="32">
        <f>MEDIAN(3,3,2,2,3,3,3,2)</f>
        <v>3</v>
      </c>
      <c r="UE21">
        <f t="shared" si="117"/>
        <v>5</v>
      </c>
      <c r="UG21" s="165">
        <v>18</v>
      </c>
      <c r="UH21" s="32">
        <v>1</v>
      </c>
      <c r="UI21" s="32">
        <f>MEDIAN(2,1,2,2,1,1,1,2,1,2,2,2)</f>
        <v>2</v>
      </c>
      <c r="UJ21" s="32">
        <v>1</v>
      </c>
      <c r="UK21" s="32">
        <v>1</v>
      </c>
      <c r="UL21" s="33">
        <f t="shared" si="118"/>
        <v>5</v>
      </c>
      <c r="UN21" s="165">
        <v>18</v>
      </c>
      <c r="UO21" s="32">
        <v>2</v>
      </c>
      <c r="UP21" s="32">
        <f>AVERAGE(3,2,3,3,2,3)</f>
        <v>2.6666666666666665</v>
      </c>
      <c r="UQ21" s="32">
        <v>1</v>
      </c>
      <c r="UR21" s="32">
        <v>2</v>
      </c>
      <c r="US21" s="33">
        <f t="shared" si="119"/>
        <v>7.6666666666666661</v>
      </c>
      <c r="UT21" s="32">
        <f>MEDIAN(3,2,3,3,2,3)</f>
        <v>3</v>
      </c>
      <c r="UU21">
        <f t="shared" si="120"/>
        <v>8</v>
      </c>
      <c r="UW21" s="165">
        <v>18</v>
      </c>
      <c r="UX21" s="32">
        <v>2</v>
      </c>
      <c r="UY21" s="32">
        <f>AVERAGE(3,3,2,3,3,3,3,2,3,2)</f>
        <v>2.7</v>
      </c>
      <c r="UZ21" s="32">
        <v>3</v>
      </c>
      <c r="VA21" s="32">
        <v>2</v>
      </c>
      <c r="VB21" s="33">
        <f t="shared" si="121"/>
        <v>9.6999999999999993</v>
      </c>
      <c r="VC21" s="32">
        <f>MEDIAN(3,3,2,3,3,3,3,2,3,2)</f>
        <v>3</v>
      </c>
      <c r="VD21">
        <f t="shared" si="122"/>
        <v>10</v>
      </c>
      <c r="VF21" s="165">
        <v>18</v>
      </c>
      <c r="VG21" s="32">
        <v>1</v>
      </c>
      <c r="VH21" s="32">
        <f>AVERAGE(3,2,3,3)</f>
        <v>2.75</v>
      </c>
      <c r="VI21" s="32">
        <v>1</v>
      </c>
      <c r="VJ21" s="32">
        <v>0</v>
      </c>
      <c r="VK21" s="33">
        <f t="shared" si="123"/>
        <v>4.75</v>
      </c>
      <c r="VL21" s="32">
        <f>MEDIAN(3,2,3,3)</f>
        <v>3</v>
      </c>
      <c r="VM21">
        <f t="shared" si="124"/>
        <v>5</v>
      </c>
      <c r="VO21" s="165">
        <v>18</v>
      </c>
      <c r="VP21" s="32">
        <v>2</v>
      </c>
      <c r="VQ21" s="32">
        <f>AVERAGE(3,3,2,2,3,2,3,3)</f>
        <v>2.625</v>
      </c>
      <c r="VR21" s="32">
        <v>3</v>
      </c>
      <c r="VS21" s="32">
        <v>1</v>
      </c>
      <c r="VT21" s="33">
        <f t="shared" si="125"/>
        <v>8.625</v>
      </c>
      <c r="VU21" s="32">
        <f>MEDIAN(3,3,2,2,3,2,3,3)</f>
        <v>3</v>
      </c>
      <c r="VV21">
        <f t="shared" si="126"/>
        <v>9</v>
      </c>
    </row>
    <row r="22" spans="2:594" ht="15" thickBot="1" x14ac:dyDescent="0.4">
      <c r="B22" s="165">
        <v>19</v>
      </c>
      <c r="C22" s="32">
        <v>1</v>
      </c>
      <c r="D22" s="32">
        <f>AVERAGE(2,2,2,1,1,2,2,2,2,1)</f>
        <v>1.7</v>
      </c>
      <c r="E22" s="32">
        <v>2</v>
      </c>
      <c r="F22" s="32">
        <v>1</v>
      </c>
      <c r="G22" s="33">
        <f t="shared" si="0"/>
        <v>5.7</v>
      </c>
      <c r="H22" s="32">
        <f>MEDIAN(2,2,2,1,1,2,2,2,2,1)</f>
        <v>2</v>
      </c>
      <c r="I22" s="75">
        <f t="shared" si="1"/>
        <v>6</v>
      </c>
      <c r="K22" s="165">
        <v>19</v>
      </c>
      <c r="L22" s="32">
        <v>0</v>
      </c>
      <c r="M22" s="32">
        <f>AVERAGE(2,3,1,2,3)</f>
        <v>2.2000000000000002</v>
      </c>
      <c r="N22" s="32">
        <v>3</v>
      </c>
      <c r="O22" s="32">
        <v>2</v>
      </c>
      <c r="P22" s="33">
        <f t="shared" si="2"/>
        <v>7.2</v>
      </c>
      <c r="Q22" s="32">
        <f>MEDIAN(2,3,1,2,3)</f>
        <v>2</v>
      </c>
      <c r="R22" s="75">
        <f t="shared" si="3"/>
        <v>7</v>
      </c>
      <c r="T22" s="165">
        <v>19</v>
      </c>
      <c r="U22" s="32">
        <v>1</v>
      </c>
      <c r="V22" s="32">
        <f>AVERAGE(3,3,3,3,2)</f>
        <v>2.8</v>
      </c>
      <c r="W22" s="32">
        <v>2</v>
      </c>
      <c r="X22" s="32">
        <v>2</v>
      </c>
      <c r="Y22" s="32">
        <f>MEDIAN(3,3,3,3,2)</f>
        <v>3</v>
      </c>
      <c r="Z22" s="18">
        <f t="shared" si="4"/>
        <v>8</v>
      </c>
      <c r="AB22" s="165">
        <v>19</v>
      </c>
      <c r="AC22" s="32">
        <v>1</v>
      </c>
      <c r="AD22" s="32">
        <f>AVERAGE(3,2,2,3,2)</f>
        <v>2.4</v>
      </c>
      <c r="AE22" s="32">
        <v>3</v>
      </c>
      <c r="AF22" s="32">
        <v>1</v>
      </c>
      <c r="AG22" s="32">
        <f>MEDIAN(3,2,2,3,2)</f>
        <v>2</v>
      </c>
      <c r="AH22" s="18">
        <f t="shared" si="5"/>
        <v>7</v>
      </c>
      <c r="AJ22" s="165">
        <v>19</v>
      </c>
      <c r="AK22" s="32">
        <v>0</v>
      </c>
      <c r="AL22" s="32">
        <f>AVERAGE(2,3,2)</f>
        <v>2.3333333333333335</v>
      </c>
      <c r="AM22" s="32">
        <v>2</v>
      </c>
      <c r="AN22" s="32">
        <v>2</v>
      </c>
      <c r="AO22" s="33">
        <f t="shared" si="6"/>
        <v>6.3333333333333339</v>
      </c>
      <c r="AP22" s="32">
        <f>MEDIAN(2,3,2)</f>
        <v>2</v>
      </c>
      <c r="AQ22" s="75">
        <f t="shared" si="7"/>
        <v>6</v>
      </c>
      <c r="AS22" s="165">
        <v>19</v>
      </c>
      <c r="AT22" s="32">
        <v>1</v>
      </c>
      <c r="AU22" s="32">
        <f>AVERAGE(3,3,3,3)</f>
        <v>3</v>
      </c>
      <c r="AV22" s="32">
        <v>1</v>
      </c>
      <c r="AW22" s="32">
        <v>0</v>
      </c>
      <c r="AX22" s="33">
        <f t="shared" si="8"/>
        <v>5</v>
      </c>
      <c r="AY22" s="32">
        <f>MEDIAN(3,3,3,3)</f>
        <v>3</v>
      </c>
      <c r="AZ22" s="75">
        <f t="shared" si="9"/>
        <v>5</v>
      </c>
      <c r="BB22" s="165">
        <v>19</v>
      </c>
      <c r="BC22" s="32">
        <v>0</v>
      </c>
      <c r="BD22" s="32">
        <f>MEDIAN(3,3,3,3,2,2,2,3,2)</f>
        <v>3</v>
      </c>
      <c r="BE22" s="32">
        <v>3</v>
      </c>
      <c r="BF22" s="32">
        <v>3</v>
      </c>
      <c r="BG22" s="33">
        <f t="shared" si="10"/>
        <v>9</v>
      </c>
      <c r="BH22" s="32">
        <f>MEDIAN(3,3,3,3,2,2,2,3,2)</f>
        <v>3</v>
      </c>
      <c r="BI22" s="75">
        <f t="shared" si="11"/>
        <v>9</v>
      </c>
      <c r="BK22" s="165">
        <v>19</v>
      </c>
      <c r="BL22" s="32">
        <v>2</v>
      </c>
      <c r="BM22" s="32">
        <f>MEDIAN(3,3,2,2,2,3,3,3,2,2,3)</f>
        <v>3</v>
      </c>
      <c r="BN22" s="32">
        <v>2</v>
      </c>
      <c r="BO22" s="32">
        <v>1</v>
      </c>
      <c r="BP22" s="33">
        <f t="shared" si="12"/>
        <v>8</v>
      </c>
      <c r="BQ22" s="32">
        <f>MEDIAN(3,3,2,2,2,3,3,3,2,2,3)</f>
        <v>3</v>
      </c>
      <c r="BR22" s="75">
        <f t="shared" si="13"/>
        <v>8</v>
      </c>
      <c r="BT22" s="165">
        <v>19</v>
      </c>
      <c r="BU22" s="32">
        <v>1</v>
      </c>
      <c r="BV22" s="32">
        <f>MEDIAN(3,3,3,3,2,3)</f>
        <v>3</v>
      </c>
      <c r="BW22" s="32">
        <v>1</v>
      </c>
      <c r="BX22" s="32">
        <v>1</v>
      </c>
      <c r="BY22" s="33">
        <f t="shared" si="14"/>
        <v>6</v>
      </c>
      <c r="CB22" s="165">
        <v>19</v>
      </c>
      <c r="CC22" s="32">
        <v>1</v>
      </c>
      <c r="CD22" s="32">
        <f>MEDIAN(3,2,3,3)</f>
        <v>3</v>
      </c>
      <c r="CE22" s="32">
        <v>2</v>
      </c>
      <c r="CF22" s="32">
        <v>1</v>
      </c>
      <c r="CG22" s="33">
        <f t="shared" si="15"/>
        <v>7</v>
      </c>
      <c r="CJ22" s="165">
        <v>19</v>
      </c>
      <c r="CK22" s="32">
        <v>3</v>
      </c>
      <c r="CL22" s="32">
        <f>MEDIAN(3,3,2,2,2,3,3,2)</f>
        <v>2.5</v>
      </c>
      <c r="CM22" s="32">
        <v>3</v>
      </c>
      <c r="CN22" s="32">
        <v>2</v>
      </c>
      <c r="CO22" s="33">
        <f t="shared" si="16"/>
        <v>10.5</v>
      </c>
      <c r="CP22" s="32">
        <f>MEDIAN(3,3,2,2,2,3,3,2)</f>
        <v>2.5</v>
      </c>
      <c r="CQ22" s="75">
        <f t="shared" si="17"/>
        <v>10.5</v>
      </c>
      <c r="CS22" s="165">
        <v>19</v>
      </c>
      <c r="CT22" s="32">
        <v>0</v>
      </c>
      <c r="CU22" s="32">
        <f>MEDIAN(2,1,1,2,2,2,2)</f>
        <v>2</v>
      </c>
      <c r="CV22" s="32">
        <v>2</v>
      </c>
      <c r="CW22" s="32">
        <v>1</v>
      </c>
      <c r="CX22" s="33">
        <f t="shared" si="18"/>
        <v>5</v>
      </c>
      <c r="CY22" s="32">
        <f>MEDIAN(2,1,1,2,2,2,2)</f>
        <v>2</v>
      </c>
      <c r="CZ22" s="75">
        <f t="shared" si="19"/>
        <v>5</v>
      </c>
      <c r="DB22" s="165">
        <v>19</v>
      </c>
      <c r="DC22" s="32">
        <v>1</v>
      </c>
      <c r="DD22" s="32">
        <f>AVERAGE(3,3,2,3,2,3,3,2,3,3,3,3)</f>
        <v>2.75</v>
      </c>
      <c r="DE22" s="32">
        <v>1</v>
      </c>
      <c r="DF22" s="32">
        <v>0</v>
      </c>
      <c r="DG22" s="33">
        <f t="shared" si="20"/>
        <v>4.75</v>
      </c>
      <c r="DH22" s="32">
        <f>MEDIAN(3,3,2,3,2,3,3,2,3,3,3,3)</f>
        <v>3</v>
      </c>
      <c r="DI22" s="75">
        <f t="shared" si="21"/>
        <v>5</v>
      </c>
      <c r="DK22" s="165">
        <v>19</v>
      </c>
      <c r="DL22" s="32">
        <v>1</v>
      </c>
      <c r="DM22" s="32">
        <f>AVERAGE(2,2,3,2,2,2,2,2)</f>
        <v>2.125</v>
      </c>
      <c r="DN22" s="32">
        <v>3</v>
      </c>
      <c r="DO22" s="32">
        <v>1</v>
      </c>
      <c r="DP22" s="33">
        <f t="shared" si="22"/>
        <v>7.125</v>
      </c>
      <c r="DQ22" s="32">
        <f>MEDIAN(2,2,3,2,2,2,2,2)</f>
        <v>2</v>
      </c>
      <c r="DR22" s="75">
        <f t="shared" si="23"/>
        <v>7</v>
      </c>
      <c r="DT22" s="165">
        <v>19</v>
      </c>
      <c r="DU22" s="32">
        <v>1</v>
      </c>
      <c r="DV22" s="32">
        <f>AVERAGE(2,2,2,2,2)</f>
        <v>2</v>
      </c>
      <c r="DW22" s="32">
        <v>3</v>
      </c>
      <c r="DX22" s="32">
        <v>1</v>
      </c>
      <c r="DY22" s="33">
        <f t="shared" si="24"/>
        <v>7</v>
      </c>
      <c r="DZ22" s="32">
        <f>MEDIAN(2,2,2,2,2)</f>
        <v>2</v>
      </c>
      <c r="EA22" s="75">
        <f t="shared" si="25"/>
        <v>7</v>
      </c>
      <c r="EC22" s="165">
        <v>19</v>
      </c>
      <c r="ED22" s="32">
        <v>0</v>
      </c>
      <c r="EE22" s="32">
        <f>AVERAGE(2,3,3,3,3,3,3)</f>
        <v>2.8571428571428572</v>
      </c>
      <c r="EF22" s="32">
        <v>3</v>
      </c>
      <c r="EG22" s="32">
        <v>1</v>
      </c>
      <c r="EH22" s="33">
        <f t="shared" si="26"/>
        <v>6.8571428571428577</v>
      </c>
      <c r="EI22" s="32">
        <f>MEDIAN(2,3,3,3,3,3,3)</f>
        <v>3</v>
      </c>
      <c r="EJ22" s="75">
        <f t="shared" si="27"/>
        <v>7</v>
      </c>
      <c r="EL22" s="165">
        <v>19</v>
      </c>
      <c r="EM22" s="32">
        <v>0</v>
      </c>
      <c r="EN22" s="32">
        <f>AVERAGE(2,3,2,2,2,2,2,2,2,2)</f>
        <v>2.1</v>
      </c>
      <c r="EO22" s="32">
        <v>1</v>
      </c>
      <c r="EP22" s="32">
        <v>0</v>
      </c>
      <c r="EQ22" s="33">
        <f t="shared" si="28"/>
        <v>3.1</v>
      </c>
      <c r="ER22" s="197">
        <f>MEDIAN(2,3,2,2,2,2,2,2,2,2)</f>
        <v>2</v>
      </c>
      <c r="ES22">
        <f t="shared" si="29"/>
        <v>3</v>
      </c>
      <c r="EU22" s="165">
        <v>19</v>
      </c>
      <c r="EV22" s="32">
        <v>0</v>
      </c>
      <c r="EW22" s="32">
        <f>AVERAGE(3,3,3,2,2,2,2,2,2,3,2,3,3,2,3,2)</f>
        <v>2.4375</v>
      </c>
      <c r="EX22" s="32">
        <v>1</v>
      </c>
      <c r="EY22" s="32">
        <v>0</v>
      </c>
      <c r="EZ22" s="33">
        <f t="shared" si="30"/>
        <v>3.4375</v>
      </c>
      <c r="FA22" s="197">
        <f>MEDIAN(3,3,3,2,2,2,2,2,2,3,2,3,3,2,3,2)</f>
        <v>2</v>
      </c>
      <c r="FB22">
        <f t="shared" si="31"/>
        <v>3</v>
      </c>
      <c r="FD22" s="165">
        <v>19</v>
      </c>
      <c r="FE22" s="32">
        <v>0</v>
      </c>
      <c r="FF22" s="32">
        <f>AVERAGE(3,2,2,2,2,3)</f>
        <v>2.3333333333333335</v>
      </c>
      <c r="FG22" s="32">
        <v>2</v>
      </c>
      <c r="FH22" s="32">
        <v>2</v>
      </c>
      <c r="FI22" s="33">
        <f t="shared" si="32"/>
        <v>6.3333333333333339</v>
      </c>
      <c r="FJ22" s="197">
        <f>MEDIAN(3,2,2,2,2,3)</f>
        <v>2</v>
      </c>
      <c r="FK22">
        <f t="shared" si="33"/>
        <v>6</v>
      </c>
      <c r="FM22" s="165">
        <v>19</v>
      </c>
      <c r="FN22" s="32">
        <v>1</v>
      </c>
      <c r="FO22" s="32">
        <f>AVERAGE(3,3,3,3,3,3,3,3)</f>
        <v>3</v>
      </c>
      <c r="FP22" s="32">
        <v>2</v>
      </c>
      <c r="FQ22" s="32">
        <v>1</v>
      </c>
      <c r="FR22" s="33">
        <f t="shared" si="34"/>
        <v>7</v>
      </c>
      <c r="FS22" s="197">
        <f>MEDIAN(3,3,3,3,3,3,3,3)</f>
        <v>3</v>
      </c>
      <c r="FT22">
        <f t="shared" si="35"/>
        <v>7</v>
      </c>
      <c r="FV22" s="165">
        <v>19</v>
      </c>
      <c r="FW22" s="32">
        <v>2</v>
      </c>
      <c r="FX22" s="32">
        <f>MEDIAN(2,3,2,3,2,3,3,3,3,2,3,2)</f>
        <v>3</v>
      </c>
      <c r="FY22" s="32">
        <v>3</v>
      </c>
      <c r="FZ22" s="32">
        <v>1</v>
      </c>
      <c r="GA22" s="33">
        <f t="shared" si="36"/>
        <v>9</v>
      </c>
      <c r="GB22" s="32">
        <f>MEDIAN(2,3,2,3,2,3,3,3,3,2,3,2)</f>
        <v>3</v>
      </c>
      <c r="GC22">
        <f t="shared" si="37"/>
        <v>9</v>
      </c>
      <c r="GE22" s="165">
        <v>19</v>
      </c>
      <c r="GF22" s="32">
        <v>2</v>
      </c>
      <c r="GG22" s="32">
        <f>MEDIAN(3,3,3,3)</f>
        <v>3</v>
      </c>
      <c r="GH22" s="32">
        <v>2</v>
      </c>
      <c r="GI22" s="32">
        <v>1</v>
      </c>
      <c r="GJ22" s="18">
        <f t="shared" si="38"/>
        <v>8</v>
      </c>
      <c r="GK22" s="32">
        <f>MEDIAN(3,3,3,3)</f>
        <v>3</v>
      </c>
      <c r="GL22">
        <f t="shared" si="39"/>
        <v>8</v>
      </c>
      <c r="GN22" s="165">
        <v>19</v>
      </c>
      <c r="GO22" s="32">
        <v>1</v>
      </c>
      <c r="GP22" s="32">
        <f>AVERAGE(3,3,3)</f>
        <v>3</v>
      </c>
      <c r="GQ22" s="32">
        <v>1</v>
      </c>
      <c r="GR22" s="32">
        <v>1</v>
      </c>
      <c r="GS22" s="33">
        <f t="shared" si="40"/>
        <v>6</v>
      </c>
      <c r="GT22" s="196">
        <f>MEDIAN(3,3,3)</f>
        <v>3</v>
      </c>
      <c r="GU22" s="32">
        <f t="shared" si="41"/>
        <v>6</v>
      </c>
      <c r="GW22" s="165">
        <v>19</v>
      </c>
      <c r="GX22" s="32">
        <v>2</v>
      </c>
      <c r="GY22" s="32">
        <f>AVERAGE(3,2,3,3,3,3)</f>
        <v>2.8333333333333335</v>
      </c>
      <c r="GZ22" s="32">
        <v>3</v>
      </c>
      <c r="HA22" s="32">
        <v>1</v>
      </c>
      <c r="HB22" s="33">
        <f t="shared" si="42"/>
        <v>8.8333333333333339</v>
      </c>
      <c r="HC22" s="196">
        <f>MEDIAN(3,2,3,3,3,3)</f>
        <v>3</v>
      </c>
      <c r="HD22">
        <f t="shared" si="43"/>
        <v>9</v>
      </c>
      <c r="HF22" s="165">
        <v>19</v>
      </c>
      <c r="HG22" s="32">
        <v>0</v>
      </c>
      <c r="HH22" s="32">
        <f>AVERAGE(3,2,2,3)</f>
        <v>2.5</v>
      </c>
      <c r="HI22" s="32">
        <v>3</v>
      </c>
      <c r="HJ22" s="32">
        <v>1</v>
      </c>
      <c r="HK22" s="33">
        <f t="shared" si="44"/>
        <v>6.5</v>
      </c>
      <c r="HL22" s="32">
        <f>MEDIAN(3,2,2,3)</f>
        <v>2.5</v>
      </c>
      <c r="HM22">
        <f t="shared" si="45"/>
        <v>6.5</v>
      </c>
      <c r="HO22" s="165">
        <v>19</v>
      </c>
      <c r="HP22" s="32">
        <v>1</v>
      </c>
      <c r="HQ22" s="32">
        <f>AVERAGE(3,2,2,2,2,2,2)</f>
        <v>2.1428571428571428</v>
      </c>
      <c r="HR22" s="32">
        <v>2</v>
      </c>
      <c r="HS22" s="32">
        <v>1</v>
      </c>
      <c r="HT22" s="33">
        <f t="shared" si="46"/>
        <v>6.1428571428571423</v>
      </c>
      <c r="HU22" s="32">
        <f>MEDIAN(3,2,2,2,2,2,2)</f>
        <v>2</v>
      </c>
      <c r="HV22">
        <f t="shared" si="47"/>
        <v>6</v>
      </c>
      <c r="HX22" s="165">
        <v>19</v>
      </c>
      <c r="HY22" s="32">
        <v>0</v>
      </c>
      <c r="HZ22" s="32">
        <f>MEDIAN(2,3,3,2,2,3,2,2)</f>
        <v>2</v>
      </c>
      <c r="IA22" s="32">
        <v>1</v>
      </c>
      <c r="IB22" s="32">
        <v>0</v>
      </c>
      <c r="IC22" s="33">
        <f t="shared" si="48"/>
        <v>3</v>
      </c>
      <c r="ID22" s="32">
        <f>MEDIAN(2,3,3,2,2,3,2,2)</f>
        <v>2</v>
      </c>
      <c r="IE22">
        <f t="shared" si="49"/>
        <v>3</v>
      </c>
      <c r="IG22" s="165">
        <v>19</v>
      </c>
      <c r="IH22" s="32">
        <v>0</v>
      </c>
      <c r="II22" s="32">
        <f>MEDIAN(2,3,2,2,2,3,2,3,2,3,3,3)</f>
        <v>2.5</v>
      </c>
      <c r="IJ22" s="32">
        <v>1</v>
      </c>
      <c r="IK22" s="32">
        <v>0</v>
      </c>
      <c r="IL22" s="33">
        <f t="shared" si="50"/>
        <v>3.5</v>
      </c>
      <c r="IM22" s="32">
        <f>MEDIAN(2,3,2,2,2,3,2,3,2,3,3,3)</f>
        <v>2.5</v>
      </c>
      <c r="IN22">
        <f t="shared" si="51"/>
        <v>3.5</v>
      </c>
      <c r="IP22" s="165">
        <v>19</v>
      </c>
      <c r="IQ22" s="32">
        <v>1</v>
      </c>
      <c r="IR22" s="32">
        <f>AVERAGE(3,3,3,3)</f>
        <v>3</v>
      </c>
      <c r="IS22" s="32">
        <v>2</v>
      </c>
      <c r="IT22" s="32">
        <v>2</v>
      </c>
      <c r="IU22" s="33">
        <f t="shared" si="52"/>
        <v>8</v>
      </c>
      <c r="IV22" s="32">
        <f>MEDIAN(3,3,3,3)</f>
        <v>3</v>
      </c>
      <c r="IW22">
        <f t="shared" si="53"/>
        <v>8</v>
      </c>
      <c r="IY22" s="165">
        <v>19</v>
      </c>
      <c r="IZ22" s="32">
        <v>1</v>
      </c>
      <c r="JA22" s="32">
        <f>AVERAGE(3,3,3,3,3)</f>
        <v>3</v>
      </c>
      <c r="JB22" s="32">
        <v>1</v>
      </c>
      <c r="JC22" s="32">
        <v>1</v>
      </c>
      <c r="JD22" s="33">
        <f t="shared" si="54"/>
        <v>6</v>
      </c>
      <c r="JE22" s="32">
        <f>MEDIAN(3,3,3,3,3)</f>
        <v>3</v>
      </c>
      <c r="JF22">
        <f t="shared" si="55"/>
        <v>6</v>
      </c>
      <c r="JH22" s="165">
        <v>19</v>
      </c>
      <c r="JI22" s="32">
        <v>1</v>
      </c>
      <c r="JJ22" s="32">
        <f>MEDIAN(3,2,3,3,2,3,3,3,2,3,3,3)</f>
        <v>3</v>
      </c>
      <c r="JK22" s="32">
        <v>2</v>
      </c>
      <c r="JL22" s="32">
        <v>1</v>
      </c>
      <c r="JM22" s="33">
        <f t="shared" si="56"/>
        <v>7</v>
      </c>
      <c r="JN22" s="32">
        <f>MEDIAN(3,2,3,3,2,3,3,3,2,3,3,3)</f>
        <v>3</v>
      </c>
      <c r="JO22">
        <f t="shared" si="57"/>
        <v>7</v>
      </c>
      <c r="JQ22" s="165">
        <v>19</v>
      </c>
      <c r="JR22" s="32">
        <v>0</v>
      </c>
      <c r="JS22" s="32">
        <f>MEDIAN(3,3,3,3,3,3)</f>
        <v>3</v>
      </c>
      <c r="JT22" s="32">
        <v>0</v>
      </c>
      <c r="JU22" s="32">
        <v>1</v>
      </c>
      <c r="JV22" s="33">
        <f t="shared" si="58"/>
        <v>4</v>
      </c>
      <c r="JW22" s="32">
        <f>MEDIAN(3,3,3,3,3,3)</f>
        <v>3</v>
      </c>
      <c r="JX22">
        <f t="shared" si="59"/>
        <v>4</v>
      </c>
      <c r="JZ22" s="165">
        <v>19</v>
      </c>
      <c r="KA22" s="32">
        <v>0</v>
      </c>
      <c r="KB22" s="32">
        <f>AVERAGE(3,3,3,2,3,3,3)</f>
        <v>2.8571428571428572</v>
      </c>
      <c r="KC22" s="32">
        <v>0</v>
      </c>
      <c r="KD22" s="32">
        <v>1</v>
      </c>
      <c r="KE22" s="33">
        <f t="shared" si="60"/>
        <v>3.8571428571428572</v>
      </c>
      <c r="KF22" s="32">
        <f>MEDIAN(3,3,3,2,3,3,3)</f>
        <v>3</v>
      </c>
      <c r="KG22">
        <f t="shared" si="61"/>
        <v>4</v>
      </c>
      <c r="KI22" s="165">
        <v>19</v>
      </c>
      <c r="KJ22" s="32">
        <v>1</v>
      </c>
      <c r="KK22" s="32">
        <f>AVERAGE(3,2,3,2,3,2,2,3,2,3,3,3,3,3,3,3,3)</f>
        <v>2.7058823529411766</v>
      </c>
      <c r="KL22" s="32">
        <v>3</v>
      </c>
      <c r="KM22" s="32">
        <v>1</v>
      </c>
      <c r="KN22" s="33">
        <f t="shared" si="62"/>
        <v>7.7058823529411766</v>
      </c>
      <c r="KO22" s="32">
        <f>MEDIAN(3,2,3,2,3,2,2,3,2,3,3,3,3,3,3,3,3)</f>
        <v>3</v>
      </c>
      <c r="KP22">
        <f t="shared" si="63"/>
        <v>8</v>
      </c>
      <c r="KR22" s="165">
        <v>19</v>
      </c>
      <c r="KS22" s="32">
        <v>1</v>
      </c>
      <c r="KT22" s="32">
        <f>AVERAGE(3,3,3,2,2,3,3,3)</f>
        <v>2.75</v>
      </c>
      <c r="KU22" s="32">
        <v>3</v>
      </c>
      <c r="KV22" s="32">
        <v>2</v>
      </c>
      <c r="KW22" s="33">
        <f t="shared" si="64"/>
        <v>8.75</v>
      </c>
      <c r="KX22" s="32">
        <f>MEDIAN(3,3,3,2,2,3,3,3)</f>
        <v>3</v>
      </c>
      <c r="KY22">
        <f t="shared" si="65"/>
        <v>9</v>
      </c>
      <c r="LA22" s="165">
        <v>19</v>
      </c>
      <c r="LB22" s="32">
        <v>1</v>
      </c>
      <c r="LC22" s="32">
        <f>AVERAGE(3,3,3,3,3,3)</f>
        <v>3</v>
      </c>
      <c r="LD22" s="32">
        <v>3</v>
      </c>
      <c r="LE22" s="32">
        <v>2</v>
      </c>
      <c r="LF22" s="33">
        <f t="shared" si="66"/>
        <v>9</v>
      </c>
      <c r="LG22" s="32">
        <f>MEDIAN(3,3,3,3,3,3)</f>
        <v>3</v>
      </c>
      <c r="LH22">
        <f t="shared" si="67"/>
        <v>9</v>
      </c>
      <c r="LK22" s="165">
        <v>19</v>
      </c>
      <c r="LL22" s="32">
        <v>0</v>
      </c>
      <c r="LM22" s="32">
        <f>AVERAGE(2,2,2,2,1,2)</f>
        <v>1.8333333333333333</v>
      </c>
      <c r="LN22" s="32">
        <v>3</v>
      </c>
      <c r="LO22" s="32">
        <v>1</v>
      </c>
      <c r="LP22" s="33">
        <f t="shared" si="68"/>
        <v>5.833333333333333</v>
      </c>
      <c r="LQ22" s="32">
        <f>MEDIAN(2,2,2,2,1,2)</f>
        <v>2</v>
      </c>
      <c r="LR22">
        <f t="shared" si="69"/>
        <v>6</v>
      </c>
      <c r="LT22" s="165">
        <v>19</v>
      </c>
      <c r="LU22" s="32">
        <v>1</v>
      </c>
      <c r="LV22" s="32">
        <f>AVERAGE(3,3,2,3,3,3,3)</f>
        <v>2.8571428571428572</v>
      </c>
      <c r="LW22" s="32">
        <v>2</v>
      </c>
      <c r="LX22" s="32">
        <v>1</v>
      </c>
      <c r="LY22" s="33">
        <f t="shared" si="70"/>
        <v>6.8571428571428577</v>
      </c>
      <c r="LZ22" s="32">
        <f>MEDIAN(3,3,2,3,3,3,3)</f>
        <v>3</v>
      </c>
      <c r="MA22">
        <f t="shared" si="71"/>
        <v>7</v>
      </c>
      <c r="MC22" s="165">
        <v>19</v>
      </c>
      <c r="MD22" s="32">
        <v>1</v>
      </c>
      <c r="ME22" s="32">
        <f>AVERAGE(3,3,3,3,3)</f>
        <v>3</v>
      </c>
      <c r="MF22" s="32">
        <v>3</v>
      </c>
      <c r="MG22" s="32">
        <v>1</v>
      </c>
      <c r="MH22" s="33">
        <f t="shared" si="72"/>
        <v>8</v>
      </c>
      <c r="MI22" s="32">
        <f>MEDIAN(3,3,3,3,3)</f>
        <v>3</v>
      </c>
      <c r="MJ22">
        <f t="shared" si="73"/>
        <v>8</v>
      </c>
      <c r="ML22" s="165">
        <v>19</v>
      </c>
      <c r="MM22" s="32">
        <v>1</v>
      </c>
      <c r="MN22" s="32">
        <f>AVERAGE(3,3,3,3,2,3,2,3,3,3,3,3,3,2,3)</f>
        <v>2.8</v>
      </c>
      <c r="MO22" s="32">
        <v>3</v>
      </c>
      <c r="MP22" s="32">
        <v>1</v>
      </c>
      <c r="MQ22" s="33">
        <f t="shared" si="74"/>
        <v>7.8</v>
      </c>
      <c r="MR22" s="32">
        <f>MEDIAN(3,3,3,3,2,3,2,3,3,3,3,3,3,2,3)</f>
        <v>3</v>
      </c>
      <c r="MS22">
        <f t="shared" si="75"/>
        <v>8</v>
      </c>
      <c r="MU22" s="165">
        <v>19</v>
      </c>
      <c r="MV22" s="32">
        <v>2</v>
      </c>
      <c r="MW22" s="32">
        <f>MEDIAN(2,3,3,3,3,3,3,2,3)</f>
        <v>3</v>
      </c>
      <c r="MX22" s="32">
        <v>3</v>
      </c>
      <c r="MY22" s="32">
        <v>1</v>
      </c>
      <c r="MZ22" s="33">
        <f t="shared" si="76"/>
        <v>9</v>
      </c>
      <c r="NA22" s="32">
        <f>MEDIAN(2,3,3,3,3,3,3,2,3)</f>
        <v>3</v>
      </c>
      <c r="NB22">
        <f t="shared" si="77"/>
        <v>9</v>
      </c>
      <c r="ND22" s="165">
        <v>19</v>
      </c>
      <c r="NE22" s="32">
        <v>0</v>
      </c>
      <c r="NF22" s="32">
        <f>MEDIAN(3,3,2,2,2,3,3,3,3,2,3,3,3,3,3,3)</f>
        <v>3</v>
      </c>
      <c r="NG22" s="32">
        <v>3</v>
      </c>
      <c r="NH22" s="32">
        <v>2</v>
      </c>
      <c r="NI22" s="33">
        <f t="shared" si="78"/>
        <v>8</v>
      </c>
      <c r="NJ22" s="32">
        <f>MEDIAN(3,3,2,2,2,3,3,3,3,2,3,3,3,3,3,3)</f>
        <v>3</v>
      </c>
      <c r="NK22">
        <f t="shared" si="79"/>
        <v>8</v>
      </c>
      <c r="NM22" s="165">
        <v>19</v>
      </c>
      <c r="NN22" s="32">
        <v>0</v>
      </c>
      <c r="NO22" s="32">
        <f>AVERAGE(3,3,2,3,3,3,3,3,3,2)</f>
        <v>2.8</v>
      </c>
      <c r="NP22" s="32">
        <v>1</v>
      </c>
      <c r="NQ22" s="32">
        <v>0</v>
      </c>
      <c r="NR22" s="33">
        <f t="shared" si="80"/>
        <v>3.8</v>
      </c>
      <c r="NS22" s="32">
        <f>MEDIAN(3,3,2,3,3,3,3,3,3,2)</f>
        <v>3</v>
      </c>
      <c r="NT22">
        <f t="shared" si="81"/>
        <v>4</v>
      </c>
      <c r="NV22" s="165">
        <v>19</v>
      </c>
      <c r="NW22" s="32">
        <v>1</v>
      </c>
      <c r="NX22" s="32">
        <f>AVERAGE(3,3,3,3,3,3,3,3,3)</f>
        <v>3</v>
      </c>
      <c r="NY22" s="32">
        <v>2</v>
      </c>
      <c r="NZ22" s="32">
        <v>3</v>
      </c>
      <c r="OA22" s="33">
        <f t="shared" si="82"/>
        <v>9</v>
      </c>
      <c r="OB22" s="32">
        <f>MEDIAN(3,3,3,3,3,3,3,3,3)</f>
        <v>3</v>
      </c>
      <c r="OC22">
        <f t="shared" si="83"/>
        <v>9</v>
      </c>
      <c r="OE22" s="165">
        <v>19</v>
      </c>
      <c r="OF22" s="32">
        <v>1</v>
      </c>
      <c r="OG22" s="32">
        <f>MEDIAN(3,3,3,3,3)</f>
        <v>3</v>
      </c>
      <c r="OH22" s="32">
        <v>3</v>
      </c>
      <c r="OI22" s="32">
        <v>1</v>
      </c>
      <c r="OJ22" s="33">
        <f t="shared" si="84"/>
        <v>8</v>
      </c>
      <c r="OK22" s="32">
        <f>MEDIAN(3,3,3,3,3)</f>
        <v>3</v>
      </c>
      <c r="OL22">
        <f t="shared" si="85"/>
        <v>8</v>
      </c>
      <c r="ON22" s="165">
        <v>19</v>
      </c>
      <c r="OO22" s="32">
        <v>1</v>
      </c>
      <c r="OP22" s="32">
        <f>MEDIAN(3,3,3,3,3)</f>
        <v>3</v>
      </c>
      <c r="OQ22" s="32">
        <v>0</v>
      </c>
      <c r="OR22" s="32">
        <v>1</v>
      </c>
      <c r="OS22" s="33">
        <f t="shared" si="86"/>
        <v>5</v>
      </c>
      <c r="OT22" s="32">
        <f>MEDIAN(3,3,3,3,3)</f>
        <v>3</v>
      </c>
      <c r="OU22">
        <f t="shared" si="87"/>
        <v>5</v>
      </c>
      <c r="OW22" s="165">
        <v>19</v>
      </c>
      <c r="OX22" s="32">
        <v>1</v>
      </c>
      <c r="OY22" s="32">
        <f>AVERAGE(3,2,2,2,3)</f>
        <v>2.4</v>
      </c>
      <c r="OZ22" s="32">
        <v>3</v>
      </c>
      <c r="PA22" s="32">
        <v>1</v>
      </c>
      <c r="PB22" s="33">
        <f t="shared" si="88"/>
        <v>7.4</v>
      </c>
      <c r="PC22" s="32">
        <f>MEDIAN(3,2,2,2,3)</f>
        <v>2</v>
      </c>
      <c r="PD22">
        <f t="shared" si="89"/>
        <v>7</v>
      </c>
      <c r="PF22" s="165">
        <v>19</v>
      </c>
      <c r="PG22" s="32">
        <v>1</v>
      </c>
      <c r="PH22" s="32">
        <f>AVERAGE(2,2,3,2,3)</f>
        <v>2.4</v>
      </c>
      <c r="PI22" s="32">
        <v>2</v>
      </c>
      <c r="PJ22" s="32">
        <v>2</v>
      </c>
      <c r="PK22" s="33">
        <f t="shared" si="90"/>
        <v>7.4</v>
      </c>
      <c r="PL22" s="32">
        <f>MEDIAN(2,2,3,2,3)</f>
        <v>2</v>
      </c>
      <c r="PM22">
        <f t="shared" si="91"/>
        <v>7</v>
      </c>
      <c r="PO22" s="165">
        <v>19</v>
      </c>
      <c r="PP22" s="32">
        <v>0</v>
      </c>
      <c r="PQ22" s="32">
        <f>MEDIAN(3,3,3,3,2,1,2,3,2,3,2,2,2,3,2)</f>
        <v>2</v>
      </c>
      <c r="PR22" s="32">
        <v>1</v>
      </c>
      <c r="PS22" s="32">
        <v>0</v>
      </c>
      <c r="PT22" s="33">
        <f t="shared" si="92"/>
        <v>3</v>
      </c>
      <c r="PV22" s="165">
        <v>19</v>
      </c>
      <c r="PW22" s="32">
        <v>1</v>
      </c>
      <c r="PX22" s="32">
        <f>MEDIAN(2,3,3,2,3,3,2,3,2)</f>
        <v>3</v>
      </c>
      <c r="PY22" s="32">
        <v>2</v>
      </c>
      <c r="PZ22" s="32">
        <v>1</v>
      </c>
      <c r="QA22" s="33">
        <f t="shared" si="93"/>
        <v>7</v>
      </c>
      <c r="QB22" s="32">
        <f>MEDIAN(2,3,3,2,3,3,2,3,2)</f>
        <v>3</v>
      </c>
      <c r="QC22">
        <f t="shared" si="94"/>
        <v>7</v>
      </c>
      <c r="QE22" s="165">
        <v>19</v>
      </c>
      <c r="QF22" s="32">
        <v>1</v>
      </c>
      <c r="QG22" s="32">
        <f>MEDIAN(2,2,3,2,2)</f>
        <v>2</v>
      </c>
      <c r="QH22" s="32">
        <v>1</v>
      </c>
      <c r="QI22" s="32">
        <v>1</v>
      </c>
      <c r="QJ22" s="33">
        <f t="shared" si="95"/>
        <v>5</v>
      </c>
      <c r="QK22" s="32">
        <f>MEDIAN(2,2,3,2,2)</f>
        <v>2</v>
      </c>
      <c r="QL22">
        <f t="shared" si="96"/>
        <v>5</v>
      </c>
      <c r="QN22" s="165">
        <v>19</v>
      </c>
      <c r="QO22" s="32">
        <v>2</v>
      </c>
      <c r="QP22" s="32">
        <f>MEDIAN(3,3,3,3,3,3,3,2,2,3)</f>
        <v>3</v>
      </c>
      <c r="QQ22" s="32">
        <v>3</v>
      </c>
      <c r="QR22" s="32">
        <v>1</v>
      </c>
      <c r="QS22" s="33">
        <f t="shared" si="97"/>
        <v>9</v>
      </c>
      <c r="QT22" s="32">
        <f>MEDIAN(3,3,3,3,3,3,3,2,2,3)</f>
        <v>3</v>
      </c>
      <c r="QU22">
        <f t="shared" si="98"/>
        <v>9</v>
      </c>
      <c r="QW22" s="165">
        <v>19</v>
      </c>
      <c r="QX22" s="32">
        <v>2</v>
      </c>
      <c r="QY22" s="32">
        <f>AVERAGE(3)</f>
        <v>3</v>
      </c>
      <c r="QZ22" s="32">
        <v>3</v>
      </c>
      <c r="RA22" s="32">
        <v>1</v>
      </c>
      <c r="RB22" s="33">
        <f t="shared" si="99"/>
        <v>9</v>
      </c>
      <c r="RC22" s="32">
        <v>3</v>
      </c>
      <c r="RD22">
        <f t="shared" si="100"/>
        <v>9</v>
      </c>
      <c r="RF22" s="165">
        <v>19</v>
      </c>
      <c r="RG22" s="32">
        <v>1</v>
      </c>
      <c r="RH22" s="32">
        <f>AVERAGE(3,3,3,3,2,2,3)</f>
        <v>2.7142857142857144</v>
      </c>
      <c r="RI22" s="32">
        <v>2</v>
      </c>
      <c r="RJ22" s="32">
        <v>1</v>
      </c>
      <c r="RK22" s="33">
        <f t="shared" si="101"/>
        <v>6.7142857142857144</v>
      </c>
      <c r="RL22" s="32">
        <f>MEDIAN(3,3,3,3,2,2,3)</f>
        <v>3</v>
      </c>
      <c r="RM22">
        <f t="shared" si="102"/>
        <v>7</v>
      </c>
      <c r="RO22" s="165">
        <v>19</v>
      </c>
      <c r="RP22" s="32">
        <v>2</v>
      </c>
      <c r="RQ22" s="32">
        <f>AVERAGE(3,3,3,3,3,3,2,2)</f>
        <v>2.75</v>
      </c>
      <c r="RR22" s="32">
        <v>3</v>
      </c>
      <c r="RS22" s="32">
        <v>2</v>
      </c>
      <c r="RT22" s="33">
        <f t="shared" si="103"/>
        <v>9.75</v>
      </c>
      <c r="RU22" s="32">
        <f>MEDIAN(3,3,3,3,3,3,2,2)</f>
        <v>3</v>
      </c>
      <c r="RV22">
        <f t="shared" si="104"/>
        <v>10</v>
      </c>
      <c r="RX22" s="165">
        <v>19</v>
      </c>
      <c r="RY22" s="32">
        <v>1</v>
      </c>
      <c r="RZ22" s="32">
        <f>AVERAGE(3,3,3,3,3,3)</f>
        <v>3</v>
      </c>
      <c r="SA22" s="32">
        <v>3</v>
      </c>
      <c r="SB22" s="32">
        <v>3</v>
      </c>
      <c r="SC22" s="33">
        <f t="shared" si="105"/>
        <v>10</v>
      </c>
      <c r="SD22" s="32">
        <f>MEDIAN(3,3,3,3,3,3)</f>
        <v>3</v>
      </c>
      <c r="SE22">
        <f t="shared" si="106"/>
        <v>10</v>
      </c>
      <c r="SG22" s="165">
        <v>19</v>
      </c>
      <c r="SH22" s="32">
        <v>2</v>
      </c>
      <c r="SI22" s="32">
        <f>MEDIAN(2,3,2,2,2,3,3,2,2,2,3,2,2)</f>
        <v>2</v>
      </c>
      <c r="SJ22" s="32">
        <v>2</v>
      </c>
      <c r="SK22" s="32">
        <v>1</v>
      </c>
      <c r="SL22" s="33">
        <f t="shared" si="107"/>
        <v>7</v>
      </c>
      <c r="SM22" s="32">
        <f>MEDIAN(2,3,2,2,2,3,3,2,2,2,3,2,2)</f>
        <v>2</v>
      </c>
      <c r="SN22">
        <f t="shared" si="108"/>
        <v>7</v>
      </c>
      <c r="SP22" s="165">
        <v>19</v>
      </c>
      <c r="SQ22" s="32">
        <v>1</v>
      </c>
      <c r="SR22" s="32">
        <f>MEDIAN(3,3,3,3)</f>
        <v>3</v>
      </c>
      <c r="SS22" s="32">
        <v>0</v>
      </c>
      <c r="ST22" s="32">
        <v>0</v>
      </c>
      <c r="SU22" s="33">
        <f t="shared" si="109"/>
        <v>4</v>
      </c>
      <c r="SV22" s="32">
        <f>MEDIAN(3,3,3,3)</f>
        <v>3</v>
      </c>
      <c r="SW22">
        <f t="shared" si="110"/>
        <v>4</v>
      </c>
      <c r="SY22" s="165">
        <v>19</v>
      </c>
      <c r="SZ22" s="32">
        <v>1</v>
      </c>
      <c r="TA22" s="32">
        <f>AVERAGE(2,3,3,2,3,3,2)</f>
        <v>2.5714285714285716</v>
      </c>
      <c r="TB22" s="32">
        <v>2</v>
      </c>
      <c r="TC22" s="32">
        <v>1</v>
      </c>
      <c r="TD22" s="33">
        <f t="shared" si="111"/>
        <v>6.5714285714285712</v>
      </c>
      <c r="TE22" s="32">
        <f>MEDIAN(2,3,3,2,3,3,2)</f>
        <v>3</v>
      </c>
      <c r="TF22">
        <f t="shared" si="112"/>
        <v>7</v>
      </c>
      <c r="TH22" s="165">
        <v>19</v>
      </c>
      <c r="TI22" s="32">
        <v>1</v>
      </c>
      <c r="TJ22" s="32">
        <f>MEDIAN(3,3,3,3,3,3,3,3,3,3)</f>
        <v>3</v>
      </c>
      <c r="TK22" s="32">
        <v>2</v>
      </c>
      <c r="TL22" s="32">
        <v>3</v>
      </c>
      <c r="TM22" s="33">
        <f t="shared" si="113"/>
        <v>9</v>
      </c>
      <c r="TN22" s="32">
        <f>MEDIAN(3,3,3,3,3,3,3,3,3,3)</f>
        <v>3</v>
      </c>
      <c r="TO22">
        <f t="shared" si="114"/>
        <v>9</v>
      </c>
      <c r="TQ22" s="165">
        <v>19</v>
      </c>
      <c r="TR22" s="32">
        <v>1</v>
      </c>
      <c r="TS22" s="32">
        <f>MEDIAN(3,3,3,3,3,3,3)</f>
        <v>3</v>
      </c>
      <c r="TT22" s="32">
        <v>3</v>
      </c>
      <c r="TU22" s="32">
        <v>2</v>
      </c>
      <c r="TV22" s="33">
        <f t="shared" si="115"/>
        <v>9</v>
      </c>
      <c r="TX22" s="165">
        <v>19</v>
      </c>
      <c r="TY22" s="32">
        <v>1</v>
      </c>
      <c r="TZ22" s="32">
        <f>MEDIAN(3,3,2,3)</f>
        <v>3</v>
      </c>
      <c r="UA22" s="32">
        <v>0</v>
      </c>
      <c r="UB22" s="32">
        <v>0</v>
      </c>
      <c r="UC22" s="33">
        <f t="shared" si="116"/>
        <v>4</v>
      </c>
      <c r="UD22" s="32">
        <f>MEDIAN(3,3,2,3)</f>
        <v>3</v>
      </c>
      <c r="UE22">
        <f t="shared" si="117"/>
        <v>4</v>
      </c>
      <c r="UG22" s="165">
        <v>19</v>
      </c>
      <c r="UH22" s="32">
        <v>0</v>
      </c>
      <c r="UI22" s="32">
        <f>MEDIAN(3,3,3,1,2,2,2,2,2)</f>
        <v>2</v>
      </c>
      <c r="UJ22" s="32">
        <v>2</v>
      </c>
      <c r="UK22" s="32">
        <v>1</v>
      </c>
      <c r="UL22" s="33">
        <f t="shared" si="118"/>
        <v>5</v>
      </c>
      <c r="UN22" s="165">
        <v>19</v>
      </c>
      <c r="UO22" s="32">
        <v>1</v>
      </c>
      <c r="UP22" s="32">
        <f>AVERAGE(2,3,2,3,3,3,3,3,2,2,3,3,3,3,3,2,2)</f>
        <v>2.6470588235294117</v>
      </c>
      <c r="UQ22" s="32">
        <v>3</v>
      </c>
      <c r="UR22" s="32">
        <v>1</v>
      </c>
      <c r="US22" s="33">
        <f t="shared" si="119"/>
        <v>7.6470588235294112</v>
      </c>
      <c r="UT22" s="32">
        <f>MEDIAN(2,3,2,3,3,3,3,3,2,2,3,3,3,3,3,2,2)</f>
        <v>3</v>
      </c>
      <c r="UU22">
        <f t="shared" si="120"/>
        <v>8</v>
      </c>
      <c r="UW22" s="165">
        <v>19</v>
      </c>
      <c r="UX22" s="32">
        <v>2</v>
      </c>
      <c r="UY22" s="32">
        <f>AVERAGE(3,3,3,3,3,3,3,3,3,3,3,3)</f>
        <v>3</v>
      </c>
      <c r="UZ22" s="32">
        <v>3</v>
      </c>
      <c r="VA22" s="32">
        <v>3</v>
      </c>
      <c r="VB22" s="33">
        <f t="shared" si="121"/>
        <v>11</v>
      </c>
      <c r="VC22" s="32">
        <f>MEDIAN(3,3,3,3,3,3,3,3,3,3,3,3)</f>
        <v>3</v>
      </c>
      <c r="VD22">
        <f t="shared" si="122"/>
        <v>11</v>
      </c>
      <c r="VF22" s="165">
        <v>19</v>
      </c>
      <c r="VG22" s="32">
        <v>0</v>
      </c>
      <c r="VH22" s="32">
        <f>AVERAGE(2,2,3,2,3,3,3)</f>
        <v>2.5714285714285716</v>
      </c>
      <c r="VI22" s="32">
        <v>1</v>
      </c>
      <c r="VJ22" s="32">
        <v>0</v>
      </c>
      <c r="VK22" s="33">
        <f t="shared" si="123"/>
        <v>3.5714285714285716</v>
      </c>
      <c r="VL22" s="32">
        <f>MEDIAN(2,2,3,2,3,3,3)</f>
        <v>3</v>
      </c>
      <c r="VM22">
        <f t="shared" si="124"/>
        <v>4</v>
      </c>
      <c r="VO22" s="165">
        <v>19</v>
      </c>
      <c r="VP22" s="32">
        <v>2</v>
      </c>
      <c r="VQ22" s="32">
        <f>AVERAGE(3,2,2,3,3,1,2,2)</f>
        <v>2.25</v>
      </c>
      <c r="VR22" s="32">
        <v>3</v>
      </c>
      <c r="VS22" s="32">
        <v>1</v>
      </c>
      <c r="VT22" s="33">
        <f t="shared" si="125"/>
        <v>8.25</v>
      </c>
      <c r="VU22" s="32">
        <f>MEDIAN(3,2,2,3,3,1,2,2)</f>
        <v>2</v>
      </c>
      <c r="VV22">
        <f t="shared" si="126"/>
        <v>8</v>
      </c>
    </row>
    <row r="23" spans="2:594" ht="15" thickBot="1" x14ac:dyDescent="0.4">
      <c r="B23" s="191">
        <v>20</v>
      </c>
      <c r="C23" s="53">
        <v>0</v>
      </c>
      <c r="D23" s="202">
        <f>AVERAGE(1,2,2,2,2,3,2)</f>
        <v>2</v>
      </c>
      <c r="E23" s="53">
        <v>2</v>
      </c>
      <c r="F23" s="53">
        <v>2</v>
      </c>
      <c r="G23" s="71">
        <f t="shared" si="0"/>
        <v>6</v>
      </c>
      <c r="H23" s="202">
        <f>MEDIAN(1,2,2,2,2,3,2)</f>
        <v>2</v>
      </c>
      <c r="I23" s="75">
        <f t="shared" si="1"/>
        <v>6</v>
      </c>
      <c r="K23" s="191">
        <v>20</v>
      </c>
      <c r="L23" s="53">
        <v>0</v>
      </c>
      <c r="M23" s="49">
        <f>AVERAGE(2,1,3,2,2,2,2,3,3)</f>
        <v>2.2222222222222223</v>
      </c>
      <c r="N23" s="53">
        <v>3</v>
      </c>
      <c r="O23" s="202">
        <v>2</v>
      </c>
      <c r="P23" s="205">
        <f t="shared" si="2"/>
        <v>7.2222222222222223</v>
      </c>
      <c r="Q23" s="49">
        <f>MEDIAN(2,1,3,2,2,2,2,3,3)</f>
        <v>2</v>
      </c>
      <c r="R23" s="75">
        <f t="shared" si="3"/>
        <v>7</v>
      </c>
      <c r="T23" s="191">
        <v>20</v>
      </c>
      <c r="U23" s="53">
        <v>0</v>
      </c>
      <c r="V23" s="53">
        <f>AVERAGE(2,2,2,2,2)</f>
        <v>2</v>
      </c>
      <c r="W23" s="53">
        <v>0</v>
      </c>
      <c r="X23" s="53">
        <v>2</v>
      </c>
      <c r="Y23" s="53">
        <f>MEDIAN(2,2,2,2,2)</f>
        <v>2</v>
      </c>
      <c r="Z23" s="18">
        <f t="shared" si="4"/>
        <v>4</v>
      </c>
      <c r="AB23" s="191">
        <v>20</v>
      </c>
      <c r="AC23" s="53">
        <v>1</v>
      </c>
      <c r="AD23" s="53">
        <f>AVERAGE(3,2,2,2,2,2,2,2,2)</f>
        <v>2.1111111111111112</v>
      </c>
      <c r="AE23" s="53">
        <v>3</v>
      </c>
      <c r="AF23" s="53">
        <v>2</v>
      </c>
      <c r="AG23" s="53">
        <f>MEDIAN(3,2,2,2,2,2,2,2,2)</f>
        <v>2</v>
      </c>
      <c r="AH23" s="18">
        <f t="shared" si="5"/>
        <v>8</v>
      </c>
      <c r="AJ23" s="199">
        <v>20</v>
      </c>
      <c r="AK23" s="200">
        <v>1</v>
      </c>
      <c r="AL23" s="200">
        <f>AVERAGE(2,2,3,3,2,3,2,2,1,2)</f>
        <v>2.2000000000000002</v>
      </c>
      <c r="AM23" s="200">
        <v>3</v>
      </c>
      <c r="AN23" s="200">
        <v>2</v>
      </c>
      <c r="AO23" s="201">
        <f t="shared" si="6"/>
        <v>8.1999999999999993</v>
      </c>
      <c r="AP23" s="200">
        <f>MEDIAN(2,2,3,3,2,3,2,2,1,2)</f>
        <v>2</v>
      </c>
      <c r="AQ23" s="75">
        <f t="shared" si="7"/>
        <v>8</v>
      </c>
      <c r="AS23" s="191">
        <v>20</v>
      </c>
      <c r="AT23" s="53">
        <v>2</v>
      </c>
      <c r="AU23" s="53">
        <f>AVERAGE(2,2,2,3,2,2,2,2,2)</f>
        <v>2.1111111111111112</v>
      </c>
      <c r="AV23" s="53">
        <v>1</v>
      </c>
      <c r="AW23" s="53">
        <v>0</v>
      </c>
      <c r="AX23" s="71">
        <f t="shared" si="8"/>
        <v>5.1111111111111107</v>
      </c>
      <c r="AY23" s="53">
        <f>MEDIAN(2,2,2,3,2,2,2,2,2)</f>
        <v>2</v>
      </c>
      <c r="AZ23" s="75">
        <f t="shared" si="9"/>
        <v>5</v>
      </c>
      <c r="BB23" s="191">
        <v>20</v>
      </c>
      <c r="BC23" s="53">
        <v>1</v>
      </c>
      <c r="BD23" s="53">
        <f>MEDIAN(2,2,3,2,2,2,2)</f>
        <v>2</v>
      </c>
      <c r="BE23" s="53">
        <v>1</v>
      </c>
      <c r="BF23" s="53">
        <v>0</v>
      </c>
      <c r="BG23" s="71">
        <f t="shared" si="10"/>
        <v>4</v>
      </c>
      <c r="BH23" s="53">
        <f>MEDIAN(2,2,3,2,2,2,2)</f>
        <v>2</v>
      </c>
      <c r="BI23" s="75">
        <f t="shared" si="11"/>
        <v>4</v>
      </c>
      <c r="BK23" s="191">
        <v>20</v>
      </c>
      <c r="BL23" s="53">
        <v>1</v>
      </c>
      <c r="BM23" s="49">
        <f>MEDIAN(3,2,2,2,3,3,3,2,2,2,3)</f>
        <v>2</v>
      </c>
      <c r="BN23" s="53">
        <v>2</v>
      </c>
      <c r="BO23" s="53">
        <v>0</v>
      </c>
      <c r="BP23" s="71">
        <f t="shared" si="12"/>
        <v>5</v>
      </c>
      <c r="BQ23" s="49">
        <f>MEDIAN(3,2,2,2,3,3,3,2,2,2,3)</f>
        <v>2</v>
      </c>
      <c r="BR23" s="75">
        <f t="shared" si="13"/>
        <v>5</v>
      </c>
      <c r="BT23" s="191">
        <v>20</v>
      </c>
      <c r="BU23" s="53">
        <v>1</v>
      </c>
      <c r="BV23" s="53">
        <f>MEDIAN(2,2,2,2,3,2,2,2)</f>
        <v>2</v>
      </c>
      <c r="BW23" s="53">
        <v>2</v>
      </c>
      <c r="BX23" s="53">
        <v>1</v>
      </c>
      <c r="BY23" s="71">
        <f t="shared" si="14"/>
        <v>6</v>
      </c>
      <c r="CB23" s="191">
        <v>20</v>
      </c>
      <c r="CC23" s="53">
        <v>1</v>
      </c>
      <c r="CD23" s="53">
        <f>MEDIAN(3,3,2,3,2,2,1,2)</f>
        <v>2</v>
      </c>
      <c r="CE23" s="53">
        <v>1</v>
      </c>
      <c r="CF23" s="53">
        <v>1</v>
      </c>
      <c r="CG23" s="71">
        <f t="shared" si="15"/>
        <v>5</v>
      </c>
      <c r="CJ23" s="191">
        <v>20</v>
      </c>
      <c r="CK23" s="53">
        <v>1</v>
      </c>
      <c r="CL23" s="53">
        <f>MEDIAN(2,3,2,3,3,3,2,3)</f>
        <v>3</v>
      </c>
      <c r="CM23" s="53">
        <v>1</v>
      </c>
      <c r="CN23" s="53">
        <v>2</v>
      </c>
      <c r="CO23" s="71">
        <f t="shared" si="16"/>
        <v>7</v>
      </c>
      <c r="CP23" s="53">
        <f>MEDIAN(2,3,2,3,3,3,2,3)</f>
        <v>3</v>
      </c>
      <c r="CQ23" s="75">
        <f t="shared" si="17"/>
        <v>7</v>
      </c>
      <c r="CS23" s="191">
        <v>20</v>
      </c>
      <c r="CT23" s="53">
        <v>2</v>
      </c>
      <c r="CU23" s="53">
        <f>MEDIAN(3,3,3,2,2,2,2,2)</f>
        <v>2</v>
      </c>
      <c r="CV23" s="53">
        <v>2</v>
      </c>
      <c r="CW23" s="53">
        <v>2</v>
      </c>
      <c r="CX23" s="71">
        <f t="shared" si="18"/>
        <v>8</v>
      </c>
      <c r="CY23" s="53">
        <f>MEDIAN(3,3,3,2,2,2,2,2)</f>
        <v>2</v>
      </c>
      <c r="CZ23" s="75">
        <f t="shared" si="19"/>
        <v>8</v>
      </c>
      <c r="DB23" s="191">
        <v>20</v>
      </c>
      <c r="DC23" s="53">
        <v>0</v>
      </c>
      <c r="DD23" s="49">
        <f>AVERAGE(3)</f>
        <v>3</v>
      </c>
      <c r="DE23" s="53">
        <v>2</v>
      </c>
      <c r="DF23" s="53">
        <v>0</v>
      </c>
      <c r="DG23" s="71">
        <f t="shared" si="20"/>
        <v>5</v>
      </c>
      <c r="DH23" s="49">
        <f>MEDIAN(3)</f>
        <v>3</v>
      </c>
      <c r="DI23" s="75">
        <f t="shared" si="21"/>
        <v>5</v>
      </c>
      <c r="DK23" s="191">
        <v>20</v>
      </c>
      <c r="DL23" s="53">
        <v>0</v>
      </c>
      <c r="DM23" s="49">
        <f>AVERAGE(3,3,2,2,2,2,3,2,2,3,2,3)</f>
        <v>2.4166666666666665</v>
      </c>
      <c r="DN23" s="53">
        <v>3</v>
      </c>
      <c r="DO23" s="53">
        <v>1</v>
      </c>
      <c r="DP23" s="71">
        <f t="shared" si="22"/>
        <v>6.4166666666666661</v>
      </c>
      <c r="DQ23" s="49">
        <f>MEDIAN(3,3,2,2,2,2,3,2,2,3,2,3)</f>
        <v>2</v>
      </c>
      <c r="DR23" s="75">
        <f t="shared" si="23"/>
        <v>6</v>
      </c>
      <c r="DT23" s="191">
        <v>20</v>
      </c>
      <c r="DU23" s="53">
        <v>0</v>
      </c>
      <c r="DV23" s="49">
        <f>AVERAGE(3,2,2,2,2,3)</f>
        <v>2.3333333333333335</v>
      </c>
      <c r="DW23" s="53">
        <v>2</v>
      </c>
      <c r="DX23" s="53">
        <v>1</v>
      </c>
      <c r="DY23" s="71">
        <f t="shared" si="24"/>
        <v>5.3333333333333339</v>
      </c>
      <c r="DZ23" s="49">
        <f>MEDIAN(3,2,2,2,2,3)</f>
        <v>2</v>
      </c>
      <c r="EA23" s="75">
        <f t="shared" si="25"/>
        <v>5</v>
      </c>
      <c r="EC23" s="191">
        <v>20</v>
      </c>
      <c r="ED23" s="53">
        <v>2</v>
      </c>
      <c r="EE23" s="49">
        <f>AVERAGE(3,3,3,3,2)</f>
        <v>2.8</v>
      </c>
      <c r="EF23" s="53">
        <v>2</v>
      </c>
      <c r="EG23" s="53">
        <v>1</v>
      </c>
      <c r="EH23" s="71">
        <f t="shared" si="26"/>
        <v>7.8</v>
      </c>
      <c r="EI23" s="49">
        <f>MEDIAN(3,3,3,3,2)</f>
        <v>3</v>
      </c>
      <c r="EJ23" s="75">
        <f t="shared" si="27"/>
        <v>8</v>
      </c>
      <c r="EL23" s="191">
        <v>20</v>
      </c>
      <c r="EM23" s="53">
        <v>0</v>
      </c>
      <c r="EN23" s="53">
        <f>AVERAGE(2,2,2,2,1,2,2,2,1,2,2,2,3)</f>
        <v>1.9230769230769231</v>
      </c>
      <c r="EO23" s="53">
        <v>1</v>
      </c>
      <c r="EP23" s="53">
        <v>0</v>
      </c>
      <c r="EQ23" s="71">
        <f t="shared" si="28"/>
        <v>2.9230769230769234</v>
      </c>
      <c r="ER23" s="203">
        <f>MEDIAN(2,2,2,2,1,2,2,2,1,2,2,2,3)</f>
        <v>2</v>
      </c>
      <c r="ES23">
        <f t="shared" si="29"/>
        <v>3</v>
      </c>
      <c r="EU23" s="191">
        <v>20</v>
      </c>
      <c r="EV23" s="53">
        <v>2</v>
      </c>
      <c r="EW23" s="53">
        <f>AVERAGE(2,2,2,2,2,2,2,2,3,2,2,2,3,2,2,2,2)</f>
        <v>2.1176470588235294</v>
      </c>
      <c r="EX23" s="53">
        <v>3</v>
      </c>
      <c r="EY23" s="53">
        <v>1</v>
      </c>
      <c r="EZ23" s="71">
        <f t="shared" si="30"/>
        <v>8.117647058823529</v>
      </c>
      <c r="FA23" s="203">
        <f>MEDIAN(2,2,2,2,2,2,2,2,3,2,2,2,3,2,2,2,2)</f>
        <v>2</v>
      </c>
      <c r="FB23">
        <f t="shared" si="31"/>
        <v>8</v>
      </c>
      <c r="FD23" s="191">
        <v>20</v>
      </c>
      <c r="FE23" s="53">
        <v>2</v>
      </c>
      <c r="FF23" s="53">
        <f>AVERAGE(3,2,2,2,3,2,2,2,2,2,2,2)</f>
        <v>2.1666666666666665</v>
      </c>
      <c r="FG23" s="53">
        <v>2</v>
      </c>
      <c r="FH23" s="53">
        <v>2</v>
      </c>
      <c r="FI23" s="71">
        <f t="shared" si="32"/>
        <v>8.1666666666666661</v>
      </c>
      <c r="FJ23" s="203">
        <f>MEDIAN(3,2,2,2,3,2,2,2,2,2,2,2)</f>
        <v>2</v>
      </c>
      <c r="FK23">
        <f t="shared" si="33"/>
        <v>8</v>
      </c>
      <c r="FM23" s="191">
        <v>20</v>
      </c>
      <c r="FN23" s="53">
        <v>1</v>
      </c>
      <c r="FO23" s="53">
        <f>AVERAGE(3,2)</f>
        <v>2.5</v>
      </c>
      <c r="FP23" s="53">
        <v>3</v>
      </c>
      <c r="FQ23" s="53">
        <v>1</v>
      </c>
      <c r="FR23" s="71">
        <f t="shared" si="34"/>
        <v>7.5</v>
      </c>
      <c r="FS23" s="203">
        <f>MEDIAN(3,2)</f>
        <v>2.5</v>
      </c>
      <c r="FT23">
        <f t="shared" si="35"/>
        <v>7.5</v>
      </c>
      <c r="FV23" s="191">
        <v>20</v>
      </c>
      <c r="FW23" s="53">
        <v>2</v>
      </c>
      <c r="FX23" s="53">
        <f>MEDIAN(2,2,3,2,2,3,3,2,2,3,3,2,2,2,3,2,3)</f>
        <v>2</v>
      </c>
      <c r="FY23" s="53">
        <v>3</v>
      </c>
      <c r="FZ23" s="53">
        <v>1</v>
      </c>
      <c r="GA23" s="71">
        <f t="shared" si="36"/>
        <v>8</v>
      </c>
      <c r="GB23" s="53">
        <f>MEDIAN(2,2,3,2,2,3,3,2,2,3,3,2,2,2,3,2,3)</f>
        <v>2</v>
      </c>
      <c r="GC23">
        <f t="shared" si="37"/>
        <v>8</v>
      </c>
      <c r="GE23" s="191">
        <v>20</v>
      </c>
      <c r="GF23" s="53">
        <v>0</v>
      </c>
      <c r="GG23" s="53">
        <f>MEDIAN(2,2,2,3)</f>
        <v>2</v>
      </c>
      <c r="GH23" s="53">
        <v>0</v>
      </c>
      <c r="GI23" s="53">
        <v>1</v>
      </c>
      <c r="GJ23" s="18">
        <f t="shared" si="38"/>
        <v>3</v>
      </c>
      <c r="GK23" s="53">
        <f>MEDIAN(2,2,2,3)</f>
        <v>2</v>
      </c>
      <c r="GL23">
        <f t="shared" si="39"/>
        <v>3</v>
      </c>
      <c r="GN23" s="191">
        <v>20</v>
      </c>
      <c r="GO23" s="53">
        <v>1</v>
      </c>
      <c r="GP23" s="53">
        <f>AVERAGE(2,3,2,2,3)</f>
        <v>2.4</v>
      </c>
      <c r="GQ23" s="53">
        <v>0</v>
      </c>
      <c r="GR23" s="53">
        <v>1</v>
      </c>
      <c r="GS23" s="71">
        <f t="shared" si="40"/>
        <v>4.4000000000000004</v>
      </c>
      <c r="GT23" s="196">
        <f>MEDIAN(2,3,2,2,3)</f>
        <v>2</v>
      </c>
      <c r="GU23" s="32">
        <f t="shared" si="41"/>
        <v>4</v>
      </c>
      <c r="GW23" s="191">
        <v>20</v>
      </c>
      <c r="GX23" s="53">
        <v>2</v>
      </c>
      <c r="GY23" s="53">
        <f>AVERAGE(2,3,3,3,3,3)</f>
        <v>2.8333333333333335</v>
      </c>
      <c r="GZ23" s="53">
        <v>3</v>
      </c>
      <c r="HA23" s="53">
        <v>1</v>
      </c>
      <c r="HB23" s="71">
        <f t="shared" si="42"/>
        <v>8.8333333333333339</v>
      </c>
      <c r="HC23" s="196">
        <f>MEDIAN(2,3,3,3,3,3)</f>
        <v>3</v>
      </c>
      <c r="HD23">
        <f t="shared" si="43"/>
        <v>9</v>
      </c>
      <c r="HF23" s="191">
        <v>20</v>
      </c>
      <c r="HG23" s="53">
        <v>0</v>
      </c>
      <c r="HH23" s="53">
        <f>AVERAGE(3,3,2)</f>
        <v>2.6666666666666665</v>
      </c>
      <c r="HI23" s="53">
        <v>3</v>
      </c>
      <c r="HJ23" s="53">
        <v>1</v>
      </c>
      <c r="HK23" s="71">
        <f t="shared" si="44"/>
        <v>6.6666666666666661</v>
      </c>
      <c r="HL23" s="53">
        <f>MEDIAN(3,3,2)</f>
        <v>3</v>
      </c>
      <c r="HM23">
        <f t="shared" si="45"/>
        <v>7</v>
      </c>
      <c r="HO23" s="191">
        <v>20</v>
      </c>
      <c r="HP23" s="53">
        <v>1</v>
      </c>
      <c r="HQ23" s="53">
        <f>AVERAGE(3,2,3,2,2,3,2)</f>
        <v>2.4285714285714284</v>
      </c>
      <c r="HR23" s="53">
        <v>2</v>
      </c>
      <c r="HS23" s="53">
        <v>2</v>
      </c>
      <c r="HT23" s="71">
        <f t="shared" si="46"/>
        <v>7.4285714285714288</v>
      </c>
      <c r="HU23" s="53">
        <f>MEDIAN(3,2,3,2,2,3,2)</f>
        <v>2</v>
      </c>
      <c r="HV23">
        <f t="shared" si="47"/>
        <v>7</v>
      </c>
      <c r="HX23" s="191">
        <v>20</v>
      </c>
      <c r="HY23" s="53">
        <v>0</v>
      </c>
      <c r="HZ23" s="53">
        <f>MEDIAN(2,1,1,2,2,2,2,2,2,2,2,3,2,2,2,2,2,2,2)</f>
        <v>2</v>
      </c>
      <c r="IA23" s="53">
        <v>1</v>
      </c>
      <c r="IB23" s="53">
        <v>0</v>
      </c>
      <c r="IC23" s="71">
        <f t="shared" si="48"/>
        <v>3</v>
      </c>
      <c r="ID23" s="53">
        <f>MEDIAN(2,1,1,2,2,2,2,2,2,2,2,3,2,2,2,2,2,2,2)</f>
        <v>2</v>
      </c>
      <c r="IE23">
        <f t="shared" si="49"/>
        <v>3</v>
      </c>
      <c r="IG23" s="191">
        <v>20</v>
      </c>
      <c r="IH23" s="53">
        <v>0</v>
      </c>
      <c r="II23" s="53">
        <f>MEDIAN(3,3,2,3,3,2,3)</f>
        <v>3</v>
      </c>
      <c r="IJ23" s="53">
        <v>1</v>
      </c>
      <c r="IK23" s="53">
        <v>1</v>
      </c>
      <c r="IL23" s="71">
        <f t="shared" si="50"/>
        <v>5</v>
      </c>
      <c r="IM23" s="53">
        <f>MEDIAN(3,3,2,3,3,2,3)</f>
        <v>3</v>
      </c>
      <c r="IN23">
        <f t="shared" si="51"/>
        <v>5</v>
      </c>
      <c r="IP23" s="191">
        <v>20</v>
      </c>
      <c r="IQ23" s="53">
        <v>1</v>
      </c>
      <c r="IR23" s="53">
        <f>AVERAGE(3,3,3,3,3,3)</f>
        <v>3</v>
      </c>
      <c r="IS23" s="53">
        <v>2</v>
      </c>
      <c r="IT23" s="53">
        <v>2</v>
      </c>
      <c r="IU23" s="71">
        <f t="shared" si="52"/>
        <v>8</v>
      </c>
      <c r="IV23" s="53">
        <f>MEDIAN(3,3,3,3,3,3)</f>
        <v>3</v>
      </c>
      <c r="IW23">
        <f t="shared" si="53"/>
        <v>8</v>
      </c>
      <c r="IY23" s="191">
        <v>20</v>
      </c>
      <c r="IZ23" s="53">
        <v>1</v>
      </c>
      <c r="JA23" s="53">
        <f>AVERAGE(3,3,3)</f>
        <v>3</v>
      </c>
      <c r="JB23" s="53">
        <v>1</v>
      </c>
      <c r="JC23" s="53">
        <v>1</v>
      </c>
      <c r="JD23" s="71">
        <f t="shared" si="54"/>
        <v>6</v>
      </c>
      <c r="JE23" s="53">
        <f>MEDIAN(3,3,3)</f>
        <v>3</v>
      </c>
      <c r="JF23">
        <f t="shared" si="55"/>
        <v>6</v>
      </c>
      <c r="JH23" s="191">
        <v>20</v>
      </c>
      <c r="JI23" s="53">
        <v>1</v>
      </c>
      <c r="JJ23" s="53">
        <f>MEDIAN(3,3,3,3,3,3)</f>
        <v>3</v>
      </c>
      <c r="JK23" s="53">
        <v>1</v>
      </c>
      <c r="JL23" s="53">
        <v>1</v>
      </c>
      <c r="JM23" s="71">
        <f t="shared" si="56"/>
        <v>6</v>
      </c>
      <c r="JN23" s="53">
        <f>MEDIAN(3,3,3,3,3,3)</f>
        <v>3</v>
      </c>
      <c r="JO23">
        <f t="shared" si="57"/>
        <v>6</v>
      </c>
      <c r="JQ23" s="191">
        <v>20</v>
      </c>
      <c r="JR23" s="53">
        <v>0</v>
      </c>
      <c r="JS23" s="53">
        <f>MEDIAN(3,3,3,3,3,3,3,3,3)</f>
        <v>3</v>
      </c>
      <c r="JT23" s="53">
        <v>0</v>
      </c>
      <c r="JU23" s="53">
        <v>0</v>
      </c>
      <c r="JV23" s="71">
        <f t="shared" si="58"/>
        <v>3</v>
      </c>
      <c r="JW23" s="53">
        <f>MEDIAN(3,3,3,3,3,3,3,3,3)</f>
        <v>3</v>
      </c>
      <c r="JX23">
        <f t="shared" si="59"/>
        <v>3</v>
      </c>
      <c r="JZ23" s="191">
        <v>20</v>
      </c>
      <c r="KA23" s="53">
        <v>0</v>
      </c>
      <c r="KB23" s="53">
        <f>AVERAGE(3,3,3,2,2,3,2,3,3)</f>
        <v>2.6666666666666665</v>
      </c>
      <c r="KC23" s="53">
        <v>1</v>
      </c>
      <c r="KD23" s="53">
        <v>0</v>
      </c>
      <c r="KE23" s="71">
        <f t="shared" si="60"/>
        <v>3.6666666666666665</v>
      </c>
      <c r="KF23" s="53">
        <f>MEDIAN(3,3,3,2,2,3,2,3,3)</f>
        <v>3</v>
      </c>
      <c r="KG23">
        <f t="shared" si="61"/>
        <v>4</v>
      </c>
      <c r="KI23" s="191">
        <v>20</v>
      </c>
      <c r="KJ23" s="53">
        <v>1</v>
      </c>
      <c r="KK23" s="53">
        <f>AVERAGE(3,3,3,2,3,2,2,3,3,3,3,3,3,2,3,2,3)</f>
        <v>2.7058823529411766</v>
      </c>
      <c r="KL23" s="53">
        <v>3</v>
      </c>
      <c r="KM23" s="53">
        <v>1</v>
      </c>
      <c r="KN23" s="71">
        <f t="shared" si="62"/>
        <v>7.7058823529411766</v>
      </c>
      <c r="KO23" s="53">
        <f>MEDIAN(3,3,3,2,3,2,2,3,3,3,3,3,3,2,3,2,3)</f>
        <v>3</v>
      </c>
      <c r="KP23">
        <f t="shared" si="63"/>
        <v>8</v>
      </c>
      <c r="KR23" s="191">
        <v>20</v>
      </c>
      <c r="KS23" s="53">
        <v>0</v>
      </c>
      <c r="KT23" s="53">
        <f>AVERAGE(3,3,3,2,3,2,2,3)</f>
        <v>2.625</v>
      </c>
      <c r="KU23" s="53" t="s">
        <v>31</v>
      </c>
      <c r="KV23" s="53">
        <v>3</v>
      </c>
      <c r="KW23" s="71">
        <f t="shared" si="64"/>
        <v>5.625</v>
      </c>
      <c r="KX23" s="53">
        <f>MEDIAN(3,3,3,2,3,2,2,3)</f>
        <v>3</v>
      </c>
      <c r="KY23">
        <f t="shared" si="65"/>
        <v>6</v>
      </c>
      <c r="KZ23">
        <f>KY23*(4/3)</f>
        <v>8</v>
      </c>
      <c r="LA23" s="191">
        <v>20</v>
      </c>
      <c r="LB23" s="53">
        <v>1</v>
      </c>
      <c r="LC23" s="53">
        <f>AVERAGE(2,2,2)</f>
        <v>2</v>
      </c>
      <c r="LD23" s="53">
        <v>1</v>
      </c>
      <c r="LE23" s="53">
        <v>2</v>
      </c>
      <c r="LF23" s="71">
        <f t="shared" si="66"/>
        <v>6</v>
      </c>
      <c r="LG23" s="53">
        <f>MEDIAN(2,2,2)</f>
        <v>2</v>
      </c>
      <c r="LH23">
        <f t="shared" si="67"/>
        <v>6</v>
      </c>
      <c r="LK23" s="191">
        <v>20</v>
      </c>
      <c r="LL23" s="53">
        <v>0</v>
      </c>
      <c r="LM23" s="53">
        <f>AVERAGE(3,3,3,2,2,3,3,3,3,2,3,2,3,3,3,3,3)</f>
        <v>2.7647058823529411</v>
      </c>
      <c r="LN23" s="53">
        <v>3</v>
      </c>
      <c r="LO23" s="53">
        <v>1</v>
      </c>
      <c r="LP23" s="71">
        <f t="shared" si="68"/>
        <v>6.7647058823529411</v>
      </c>
      <c r="LQ23" s="53">
        <f>MEDIAN(3,3,3,2,2,3,3,3,3,2,3,2,3,3,3,3,3)</f>
        <v>3</v>
      </c>
      <c r="LR23">
        <f t="shared" si="69"/>
        <v>7</v>
      </c>
      <c r="LT23" s="191">
        <v>20</v>
      </c>
      <c r="LU23" s="53">
        <v>1</v>
      </c>
      <c r="LV23" s="53">
        <f>AVERAGE(2,3,3,3,3,3,3,2,3,3,3,3,3,3,3,2,3)</f>
        <v>2.8235294117647061</v>
      </c>
      <c r="LW23" s="53">
        <v>2</v>
      </c>
      <c r="LX23" s="53">
        <v>1</v>
      </c>
      <c r="LY23" s="71">
        <f t="shared" si="70"/>
        <v>6.8235294117647065</v>
      </c>
      <c r="LZ23" s="53">
        <f>MEDIAN(2,3,3,3,3,3,3,2,3,3,3,3,3,3,3,2,3)</f>
        <v>3</v>
      </c>
      <c r="MA23">
        <f t="shared" si="71"/>
        <v>7</v>
      </c>
      <c r="MC23" s="191">
        <v>20</v>
      </c>
      <c r="MD23" s="53">
        <v>1</v>
      </c>
      <c r="ME23" s="53">
        <f>AVERAGE(2,2,3,3,3,3,3,2,3,3)</f>
        <v>2.7</v>
      </c>
      <c r="MF23" s="53">
        <v>3</v>
      </c>
      <c r="MG23" s="53">
        <v>2</v>
      </c>
      <c r="MH23" s="71">
        <f t="shared" si="72"/>
        <v>8.6999999999999993</v>
      </c>
      <c r="MI23" s="53">
        <f>MEDIAN(2,2,3,3,3,3,3,2,3,3)</f>
        <v>3</v>
      </c>
      <c r="MJ23">
        <f t="shared" si="73"/>
        <v>9</v>
      </c>
      <c r="ML23" s="191">
        <v>20</v>
      </c>
      <c r="MM23" s="53">
        <v>1</v>
      </c>
      <c r="MN23" s="53">
        <f>AVERAGE(3,3,3,3,3,3,3,3,3,3,3,3,2,3,2,2,3)</f>
        <v>2.8235294117647061</v>
      </c>
      <c r="MO23" s="53">
        <v>3</v>
      </c>
      <c r="MP23" s="53">
        <v>2</v>
      </c>
      <c r="MQ23" s="71">
        <f t="shared" si="74"/>
        <v>8.8235294117647065</v>
      </c>
      <c r="MR23" s="53">
        <f>MEDIAN(3,3,3,3,3,3,3,3,3,3,3,3,2,3,2,2,3)</f>
        <v>3</v>
      </c>
      <c r="MS23">
        <f t="shared" si="75"/>
        <v>9</v>
      </c>
      <c r="MU23" s="191">
        <v>20</v>
      </c>
      <c r="MV23" s="53">
        <v>2</v>
      </c>
      <c r="MW23" s="53">
        <f>MEDIAN(3,3,3,3,2,2,3,2,3,3,3,3,2,3,3,2,3,3,3,2)</f>
        <v>3</v>
      </c>
      <c r="MX23" s="53">
        <v>3</v>
      </c>
      <c r="MY23" s="53">
        <v>1</v>
      </c>
      <c r="MZ23" s="71">
        <f t="shared" si="76"/>
        <v>9</v>
      </c>
      <c r="NA23" s="53">
        <f>MEDIAN(3,3,3,3,2,2,3,2,3,3,3,3,2,3,3,2,3,3,3,2)</f>
        <v>3</v>
      </c>
      <c r="NB23">
        <f t="shared" si="77"/>
        <v>9</v>
      </c>
      <c r="ND23" s="191">
        <v>20</v>
      </c>
      <c r="NE23" s="53">
        <v>0</v>
      </c>
      <c r="NF23" s="53">
        <f>MEDIAN(3,2,3,2,2,3,2,3,3,2,3,2,3,3,2)</f>
        <v>3</v>
      </c>
      <c r="NG23" s="53">
        <v>3</v>
      </c>
      <c r="NH23" s="53">
        <v>1</v>
      </c>
      <c r="NI23" s="71">
        <f t="shared" si="78"/>
        <v>7</v>
      </c>
      <c r="NJ23" s="53">
        <f>MEDIAN(3,2,3,2,2,3,2,3,3,2,3,2,3,3,2)</f>
        <v>3</v>
      </c>
      <c r="NK23">
        <f t="shared" si="79"/>
        <v>7</v>
      </c>
      <c r="NM23" s="191">
        <v>20</v>
      </c>
      <c r="NN23" s="53">
        <v>0</v>
      </c>
      <c r="NO23" s="53">
        <f>AVERAGE(3,3,3,3,3)</f>
        <v>3</v>
      </c>
      <c r="NP23" s="53">
        <v>1</v>
      </c>
      <c r="NQ23" s="53">
        <v>0</v>
      </c>
      <c r="NR23" s="71">
        <f t="shared" si="80"/>
        <v>4</v>
      </c>
      <c r="NS23" s="53">
        <f>MEDIAN(3,3,3,3,3)</f>
        <v>3</v>
      </c>
      <c r="NT23">
        <f t="shared" si="81"/>
        <v>4</v>
      </c>
      <c r="NV23" s="191">
        <v>20</v>
      </c>
      <c r="NW23" s="53">
        <v>1</v>
      </c>
      <c r="NX23" s="53">
        <f>AVERAGE(3,3,3,2)</f>
        <v>2.75</v>
      </c>
      <c r="NY23" s="53">
        <v>2</v>
      </c>
      <c r="NZ23" s="53">
        <v>2</v>
      </c>
      <c r="OA23" s="71">
        <f t="shared" si="82"/>
        <v>7.75</v>
      </c>
      <c r="OB23" s="53">
        <f>MEDIAN(3,3,3,2)</f>
        <v>3</v>
      </c>
      <c r="OC23">
        <f t="shared" si="83"/>
        <v>8</v>
      </c>
      <c r="OE23" s="191">
        <v>20</v>
      </c>
      <c r="OF23" s="53">
        <v>2</v>
      </c>
      <c r="OG23" s="53">
        <f>MEDIAN(3,3)</f>
        <v>3</v>
      </c>
      <c r="OH23" s="53">
        <v>3</v>
      </c>
      <c r="OI23" s="53">
        <v>2</v>
      </c>
      <c r="OJ23" s="71">
        <f t="shared" si="84"/>
        <v>10</v>
      </c>
      <c r="OK23" s="53">
        <f>MEDIAN(3,3)</f>
        <v>3</v>
      </c>
      <c r="OL23">
        <f t="shared" si="85"/>
        <v>10</v>
      </c>
      <c r="ON23" s="191">
        <v>20</v>
      </c>
      <c r="OO23" s="53">
        <v>1</v>
      </c>
      <c r="OP23" s="53">
        <f>MEDIAN(3,3,3,3,3,3,3)</f>
        <v>3</v>
      </c>
      <c r="OQ23" s="53">
        <v>1</v>
      </c>
      <c r="OR23" s="53">
        <v>1</v>
      </c>
      <c r="OS23" s="71">
        <f t="shared" si="86"/>
        <v>6</v>
      </c>
      <c r="OT23" s="53">
        <f>MEDIAN(3,3,3,3,3,3,3)</f>
        <v>3</v>
      </c>
      <c r="OU23">
        <f t="shared" si="87"/>
        <v>6</v>
      </c>
      <c r="OW23" s="191">
        <v>20</v>
      </c>
      <c r="OX23" s="53">
        <v>1</v>
      </c>
      <c r="OY23" s="53">
        <f>AVERAGE(2,2,2,2,3,3,3,3,2,2,2,2,3)</f>
        <v>2.3846153846153846</v>
      </c>
      <c r="OZ23" s="53">
        <v>3</v>
      </c>
      <c r="PA23" s="53">
        <v>1</v>
      </c>
      <c r="PB23" s="71">
        <f t="shared" si="88"/>
        <v>7.384615384615385</v>
      </c>
      <c r="PC23" s="53">
        <f>MEDIAN(2,2,2,2,3,3,3,3,2,2,2,2,3)</f>
        <v>2</v>
      </c>
      <c r="PD23">
        <f t="shared" si="89"/>
        <v>7</v>
      </c>
      <c r="PF23" s="191">
        <v>20</v>
      </c>
      <c r="PG23" s="53">
        <v>1</v>
      </c>
      <c r="PH23" s="53">
        <f>AVERAGE(3,2,0,3,2,2)</f>
        <v>2</v>
      </c>
      <c r="PI23" s="53">
        <v>1</v>
      </c>
      <c r="PJ23" s="53">
        <v>1</v>
      </c>
      <c r="PK23" s="71">
        <f t="shared" si="90"/>
        <v>5</v>
      </c>
      <c r="PL23" s="53">
        <f>MEDIAN(3,2,0,3,2,2)</f>
        <v>2</v>
      </c>
      <c r="PM23">
        <f t="shared" si="91"/>
        <v>5</v>
      </c>
      <c r="PO23" s="191">
        <v>20</v>
      </c>
      <c r="PP23" s="53">
        <v>0</v>
      </c>
      <c r="PQ23" s="53">
        <f>MEDIAN(2,2,1,2,2,2,2,2,2)</f>
        <v>2</v>
      </c>
      <c r="PR23" s="53">
        <v>1</v>
      </c>
      <c r="PS23" s="53">
        <v>0</v>
      </c>
      <c r="PT23" s="71">
        <f t="shared" si="92"/>
        <v>3</v>
      </c>
      <c r="PV23" s="191">
        <v>20</v>
      </c>
      <c r="PW23" s="53">
        <v>2</v>
      </c>
      <c r="PX23" s="53">
        <f>MEDIAN(2,2,2,3,3,2,3,2,3,2,1)</f>
        <v>2</v>
      </c>
      <c r="PY23" s="53">
        <v>2</v>
      </c>
      <c r="PZ23" s="53">
        <v>1</v>
      </c>
      <c r="QA23" s="71">
        <f t="shared" si="93"/>
        <v>7</v>
      </c>
      <c r="QB23" s="53">
        <f>MEDIAN(2,2,2,3,3,2,3,2,3,2,1)</f>
        <v>2</v>
      </c>
      <c r="QC23">
        <f t="shared" si="94"/>
        <v>7</v>
      </c>
      <c r="QE23" s="191">
        <v>20</v>
      </c>
      <c r="QF23" s="53">
        <v>1</v>
      </c>
      <c r="QG23" s="53">
        <f>MEDIAN(3,3,3,2)</f>
        <v>3</v>
      </c>
      <c r="QH23" s="53">
        <v>1</v>
      </c>
      <c r="QI23" s="53">
        <v>1</v>
      </c>
      <c r="QJ23" s="71">
        <f t="shared" si="95"/>
        <v>6</v>
      </c>
      <c r="QK23" s="53">
        <f>MEDIAN(3,3,3,2)</f>
        <v>3</v>
      </c>
      <c r="QL23">
        <f t="shared" si="96"/>
        <v>6</v>
      </c>
      <c r="QN23" s="191">
        <v>20</v>
      </c>
      <c r="QO23" s="53">
        <v>2</v>
      </c>
      <c r="QP23" s="53">
        <f>MEDIAN(3,1,3,2,2,2,3,3,2,3,3,3,2,3,3,3,2,3,3)</f>
        <v>3</v>
      </c>
      <c r="QQ23" s="53">
        <v>3</v>
      </c>
      <c r="QR23" s="53">
        <v>2</v>
      </c>
      <c r="QS23" s="71">
        <f t="shared" si="97"/>
        <v>10</v>
      </c>
      <c r="QT23" s="53">
        <f>MEDIAN(3,1,3,2,2,2,3,3,2,3,3,3,2,3,3,3,2,3,3)</f>
        <v>3</v>
      </c>
      <c r="QU23">
        <f t="shared" si="98"/>
        <v>10</v>
      </c>
      <c r="QW23" s="191">
        <v>20</v>
      </c>
      <c r="QX23" s="53">
        <v>1</v>
      </c>
      <c r="QY23" s="53">
        <f>AVERAGE(3,3,2,3,3,3,2,3,3,3,3)</f>
        <v>2.8181818181818183</v>
      </c>
      <c r="QZ23" s="53">
        <v>3</v>
      </c>
      <c r="RA23" s="53">
        <v>2</v>
      </c>
      <c r="RB23" s="71">
        <f t="shared" si="99"/>
        <v>8.8181818181818183</v>
      </c>
      <c r="RC23" s="53">
        <f>MEDIAN(3,3,2,3,3,3,2,3,3,3,3)</f>
        <v>3</v>
      </c>
      <c r="RD23">
        <f t="shared" si="100"/>
        <v>9</v>
      </c>
      <c r="RF23" s="191">
        <v>20</v>
      </c>
      <c r="RG23" s="53">
        <v>0</v>
      </c>
      <c r="RH23" s="53">
        <f>AVERAGE(3,3,2,2,3,2,3,3,2,3,2,3,2)</f>
        <v>2.5384615384615383</v>
      </c>
      <c r="RI23" s="53">
        <v>3</v>
      </c>
      <c r="RJ23" s="53">
        <v>1</v>
      </c>
      <c r="RK23" s="71">
        <f t="shared" si="101"/>
        <v>6.5384615384615383</v>
      </c>
      <c r="RL23" s="53">
        <f>MEDIAN(3,3,2,2,3,2,3,3,2,3,2,3,2)</f>
        <v>3</v>
      </c>
      <c r="RM23">
        <f t="shared" si="102"/>
        <v>7</v>
      </c>
      <c r="RO23" s="191">
        <v>20</v>
      </c>
      <c r="RP23" s="53">
        <v>2</v>
      </c>
      <c r="RQ23" s="53">
        <f>AVERAGE(3,3,3,3,3,2)</f>
        <v>2.8333333333333335</v>
      </c>
      <c r="RR23" s="53">
        <v>3</v>
      </c>
      <c r="RS23" s="53">
        <v>3</v>
      </c>
      <c r="RT23" s="71">
        <f t="shared" si="103"/>
        <v>10.833333333333334</v>
      </c>
      <c r="RU23" s="53">
        <f>MEDIAN(3,3,3,3,3,2)</f>
        <v>3</v>
      </c>
      <c r="RV23">
        <f t="shared" si="104"/>
        <v>11</v>
      </c>
      <c r="RX23" s="191">
        <v>20</v>
      </c>
      <c r="RY23" s="53">
        <v>1</v>
      </c>
      <c r="RZ23" s="53">
        <f>AVERAGE(3,3,3,3,3,3,3)</f>
        <v>3</v>
      </c>
      <c r="SA23" s="53">
        <v>3</v>
      </c>
      <c r="SB23" s="53">
        <v>2</v>
      </c>
      <c r="SC23" s="71">
        <f t="shared" si="105"/>
        <v>9</v>
      </c>
      <c r="SD23" s="53">
        <f>MEDIAN(3,3,3,3,3,3,3)</f>
        <v>3</v>
      </c>
      <c r="SE23">
        <f t="shared" si="106"/>
        <v>9</v>
      </c>
      <c r="SG23" s="191">
        <v>20</v>
      </c>
      <c r="SH23" s="53">
        <v>0</v>
      </c>
      <c r="SI23" s="53">
        <f>MEDIAN(3,1,3,2,3,2,3,2,3,3,2)</f>
        <v>3</v>
      </c>
      <c r="SJ23" s="53">
        <v>0</v>
      </c>
      <c r="SK23" s="53">
        <v>0</v>
      </c>
      <c r="SL23" s="71">
        <f t="shared" si="107"/>
        <v>3</v>
      </c>
      <c r="SM23" s="53">
        <f>MEDIAN(3,1,3,2,3,2,3,2,3,3,2)</f>
        <v>3</v>
      </c>
      <c r="SN23">
        <f t="shared" si="108"/>
        <v>3</v>
      </c>
      <c r="SP23" s="191">
        <v>20</v>
      </c>
      <c r="SQ23" s="53">
        <v>1</v>
      </c>
      <c r="SR23" s="53">
        <f>MEDIAN(3,3,3,3)</f>
        <v>3</v>
      </c>
      <c r="SS23" s="53">
        <v>0</v>
      </c>
      <c r="ST23" s="53">
        <v>0</v>
      </c>
      <c r="SU23" s="71">
        <f t="shared" si="109"/>
        <v>4</v>
      </c>
      <c r="SV23" s="53">
        <f>MEDIAN(3,3,3,3)</f>
        <v>3</v>
      </c>
      <c r="SW23">
        <f t="shared" si="110"/>
        <v>4</v>
      </c>
      <c r="SY23" s="191">
        <v>20</v>
      </c>
      <c r="SZ23" s="53">
        <v>1</v>
      </c>
      <c r="TA23" s="53">
        <f>AVERAGE(3,3,3,3,3,3,3,3,3,2,2,3)</f>
        <v>2.8333333333333335</v>
      </c>
      <c r="TB23" s="53">
        <v>3</v>
      </c>
      <c r="TC23" s="53">
        <v>1</v>
      </c>
      <c r="TD23" s="71">
        <f t="shared" si="111"/>
        <v>7.8333333333333339</v>
      </c>
      <c r="TE23" s="53">
        <f>MEDIAN(3,3,3,3,3,3,3,3,3,2,2,3)</f>
        <v>3</v>
      </c>
      <c r="TF23">
        <f t="shared" si="112"/>
        <v>8</v>
      </c>
      <c r="TH23" s="191">
        <v>20</v>
      </c>
      <c r="TI23" s="53">
        <v>1</v>
      </c>
      <c r="TJ23" s="53">
        <f>MEDIAN(3,3,3,3,3,3,2,3,3,3,3,2,3)</f>
        <v>3</v>
      </c>
      <c r="TK23" s="53">
        <v>3</v>
      </c>
      <c r="TL23" s="53">
        <v>3</v>
      </c>
      <c r="TM23" s="71">
        <f t="shared" si="113"/>
        <v>10</v>
      </c>
      <c r="TN23" s="53">
        <f>MEDIAN(3,3,3,3,3,3,2,3,3,3,3,2,3)</f>
        <v>3</v>
      </c>
      <c r="TO23">
        <f t="shared" si="114"/>
        <v>10</v>
      </c>
      <c r="TQ23" s="191">
        <v>20</v>
      </c>
      <c r="TR23" s="53">
        <v>2</v>
      </c>
      <c r="TS23" s="53">
        <f>MEDIAN(3,2,2)</f>
        <v>2</v>
      </c>
      <c r="TT23" s="53">
        <v>2</v>
      </c>
      <c r="TU23" s="53">
        <v>1</v>
      </c>
      <c r="TV23" s="71">
        <f t="shared" si="115"/>
        <v>7</v>
      </c>
      <c r="TX23" s="191">
        <v>20</v>
      </c>
      <c r="TY23" s="53">
        <v>1</v>
      </c>
      <c r="TZ23" s="53">
        <f>MEDIAN(3,2,3,3,3,3,2)</f>
        <v>3</v>
      </c>
      <c r="UA23" s="53">
        <v>1</v>
      </c>
      <c r="UB23" s="53">
        <v>1</v>
      </c>
      <c r="UC23" s="71">
        <f t="shared" si="116"/>
        <v>6</v>
      </c>
      <c r="UD23" s="53">
        <f>MEDIAN(3,2,3,3,3,3,2)</f>
        <v>3</v>
      </c>
      <c r="UE23">
        <f t="shared" si="117"/>
        <v>6</v>
      </c>
      <c r="UG23" s="191">
        <v>20</v>
      </c>
      <c r="UH23" s="53">
        <v>2</v>
      </c>
      <c r="UI23" s="53">
        <f>MEDIAN(3,3,3,3,3,3,3,3,3)</f>
        <v>3</v>
      </c>
      <c r="UJ23" s="53">
        <v>2</v>
      </c>
      <c r="UK23" s="53">
        <v>2</v>
      </c>
      <c r="UL23" s="71">
        <f t="shared" si="118"/>
        <v>9</v>
      </c>
      <c r="UN23" s="191">
        <v>20</v>
      </c>
      <c r="UO23" s="53">
        <v>1</v>
      </c>
      <c r="UP23" s="53">
        <f>AVERAGE(2,2,3,3,2,2,3)</f>
        <v>2.4285714285714284</v>
      </c>
      <c r="UQ23" s="53">
        <v>3</v>
      </c>
      <c r="UR23" s="53">
        <v>2</v>
      </c>
      <c r="US23" s="71">
        <f t="shared" si="119"/>
        <v>8.4285714285714288</v>
      </c>
      <c r="UT23" s="53">
        <f>MEDIAN(2,2,3,3,2,2,3)</f>
        <v>2</v>
      </c>
      <c r="UU23">
        <f t="shared" si="120"/>
        <v>8</v>
      </c>
      <c r="UW23" s="191">
        <v>20</v>
      </c>
      <c r="UX23" s="53">
        <v>2</v>
      </c>
      <c r="UY23" s="53">
        <f>AVERAGE(3,2,3,2,3,3,3,3,3,3,3,3,3,3,2,3)</f>
        <v>2.8125</v>
      </c>
      <c r="UZ23" s="53">
        <v>3</v>
      </c>
      <c r="VA23" s="53">
        <v>2</v>
      </c>
      <c r="VB23" s="71">
        <f t="shared" si="121"/>
        <v>9.8125</v>
      </c>
      <c r="VC23" s="53">
        <f>MEDIAN(3,2,3,2,3,3,3,3,3,3,3,3,3,3,2,3)</f>
        <v>3</v>
      </c>
      <c r="VD23">
        <f t="shared" si="122"/>
        <v>10</v>
      </c>
      <c r="VF23" s="191">
        <v>20</v>
      </c>
      <c r="VG23" s="53">
        <v>0</v>
      </c>
      <c r="VH23" s="53">
        <f>AVERAGE(3,3,2,3,3,2,3,3,3)</f>
        <v>2.7777777777777777</v>
      </c>
      <c r="VI23" s="53">
        <v>1</v>
      </c>
      <c r="VJ23" s="53">
        <v>2</v>
      </c>
      <c r="VK23" s="71">
        <f t="shared" si="123"/>
        <v>5.7777777777777777</v>
      </c>
      <c r="VL23" s="53">
        <f>MEDIAN(3,3,2,3,3,2,3,3,3)</f>
        <v>3</v>
      </c>
      <c r="VM23">
        <f t="shared" si="124"/>
        <v>6</v>
      </c>
      <c r="VO23" s="191">
        <v>20</v>
      </c>
      <c r="VP23" s="53">
        <v>1</v>
      </c>
      <c r="VQ23" s="53">
        <f>AVERAGE(3,2,2,2,2)</f>
        <v>2.2000000000000002</v>
      </c>
      <c r="VR23" s="53">
        <v>1</v>
      </c>
      <c r="VS23" s="53">
        <v>0</v>
      </c>
      <c r="VT23" s="71">
        <f t="shared" si="125"/>
        <v>4.2</v>
      </c>
      <c r="VU23" s="53">
        <f>MEDIAN(3,2,2,2,2)</f>
        <v>2</v>
      </c>
      <c r="VV23">
        <f t="shared" si="126"/>
        <v>4</v>
      </c>
    </row>
    <row r="24" spans="2:594" ht="15" thickBot="1" x14ac:dyDescent="0.4">
      <c r="B24" s="204">
        <v>21</v>
      </c>
      <c r="C24" s="198">
        <v>1</v>
      </c>
      <c r="D24" s="49">
        <f>AVERAGE(2,3,2,2)</f>
        <v>2.25</v>
      </c>
      <c r="E24" s="198">
        <v>1</v>
      </c>
      <c r="F24" s="198">
        <v>1</v>
      </c>
      <c r="G24" s="205">
        <f t="shared" si="0"/>
        <v>5.25</v>
      </c>
      <c r="H24" s="49">
        <f>MEDIAN(2,3,2,2)</f>
        <v>2</v>
      </c>
      <c r="I24" s="75">
        <f t="shared" si="1"/>
        <v>5</v>
      </c>
      <c r="K24" s="190">
        <v>21</v>
      </c>
      <c r="L24" s="16">
        <v>1</v>
      </c>
      <c r="M24" s="193">
        <f>AVERAGE(0,2,1,2,3,2,2,2,2,3,2,2,1,3)</f>
        <v>1.9285714285714286</v>
      </c>
      <c r="N24" s="16">
        <v>3</v>
      </c>
      <c r="O24" s="193">
        <v>2</v>
      </c>
      <c r="P24" s="194">
        <f t="shared" si="2"/>
        <v>7.9285714285714288</v>
      </c>
      <c r="Q24" s="193">
        <f>MEDIAN(0,2,1,2,3,2,2,2,2,3,2,2,1,3)</f>
        <v>2</v>
      </c>
      <c r="R24" s="75">
        <f t="shared" si="3"/>
        <v>8</v>
      </c>
      <c r="T24" s="190">
        <v>21</v>
      </c>
      <c r="U24" s="16">
        <v>0</v>
      </c>
      <c r="V24" s="16">
        <f>AVERAGE(3,3,2,3,3,2,3,2,2,2)</f>
        <v>2.5</v>
      </c>
      <c r="W24" s="16">
        <v>3</v>
      </c>
      <c r="X24" s="16">
        <v>2</v>
      </c>
      <c r="Y24" s="16">
        <f>MEDIAN(3,3,2,3,3,2,3,2,2,2)</f>
        <v>2.5</v>
      </c>
      <c r="Z24" s="18">
        <f t="shared" si="4"/>
        <v>7.5</v>
      </c>
      <c r="AB24" s="204">
        <v>21</v>
      </c>
      <c r="AC24" s="198">
        <v>0</v>
      </c>
      <c r="AD24" s="198">
        <f>AVERAGE(2,2,2,2)</f>
        <v>2</v>
      </c>
      <c r="AE24" s="198">
        <v>3</v>
      </c>
      <c r="AF24" s="198">
        <v>1</v>
      </c>
      <c r="AG24" s="198">
        <f>MEDIAN(2,2,2,2)</f>
        <v>2</v>
      </c>
      <c r="AH24" s="18">
        <f t="shared" si="5"/>
        <v>6</v>
      </c>
      <c r="AJ24" s="190">
        <v>21</v>
      </c>
      <c r="AK24" s="16">
        <v>0</v>
      </c>
      <c r="AL24" s="16">
        <f>AVERAGE(3,3,2,2)</f>
        <v>2.5</v>
      </c>
      <c r="AM24" s="16">
        <v>0</v>
      </c>
      <c r="AN24" s="16">
        <v>1</v>
      </c>
      <c r="AO24" s="18">
        <f t="shared" si="6"/>
        <v>3.5</v>
      </c>
      <c r="AP24" s="16">
        <f>MEDIAN(3,3,2,2)</f>
        <v>2.5</v>
      </c>
      <c r="AQ24" s="75">
        <f t="shared" si="7"/>
        <v>3.5</v>
      </c>
      <c r="AS24" s="204">
        <v>21</v>
      </c>
      <c r="AT24" s="198">
        <v>2</v>
      </c>
      <c r="AU24" s="198">
        <f>AVERAGE(2,2,2)</f>
        <v>2</v>
      </c>
      <c r="AV24" s="198">
        <v>3</v>
      </c>
      <c r="AW24" s="198">
        <v>1</v>
      </c>
      <c r="AX24" s="205">
        <f t="shared" si="8"/>
        <v>8</v>
      </c>
      <c r="AY24" s="198">
        <f>MEDIAN(2,2,2)</f>
        <v>2</v>
      </c>
      <c r="AZ24" s="75">
        <f t="shared" si="9"/>
        <v>8</v>
      </c>
      <c r="BB24" s="204">
        <v>21</v>
      </c>
      <c r="BC24" s="198">
        <v>1</v>
      </c>
      <c r="BD24" s="198">
        <f>MEDIAN(2,2,2,3,3,3,2,2,2,3,2,2)</f>
        <v>2</v>
      </c>
      <c r="BE24" s="198">
        <v>1</v>
      </c>
      <c r="BF24" s="198">
        <v>0</v>
      </c>
      <c r="BG24" s="205">
        <f t="shared" si="10"/>
        <v>4</v>
      </c>
      <c r="BH24" s="198">
        <f>MEDIAN(2,2,2,3,3,3,2,2,2,3,2,2)</f>
        <v>2</v>
      </c>
      <c r="BI24" s="75">
        <f t="shared" si="11"/>
        <v>4</v>
      </c>
      <c r="BK24" s="190">
        <v>21</v>
      </c>
      <c r="BL24" s="16">
        <v>1</v>
      </c>
      <c r="BM24" s="193">
        <f>MEDIAN(2,3,3,2,2,2,3,2)</f>
        <v>2</v>
      </c>
      <c r="BN24" s="16">
        <v>2</v>
      </c>
      <c r="BO24" s="16">
        <v>0</v>
      </c>
      <c r="BP24" s="18">
        <f t="shared" si="12"/>
        <v>5</v>
      </c>
      <c r="BQ24" s="193">
        <f>MEDIAN(2,3,3,2,2,2,3,2)</f>
        <v>2</v>
      </c>
      <c r="BR24" s="75">
        <f t="shared" si="13"/>
        <v>5</v>
      </c>
      <c r="BT24" s="204">
        <v>21</v>
      </c>
      <c r="BU24" s="198">
        <v>0</v>
      </c>
      <c r="BV24" s="198">
        <f>MEDIAN(2,2,2,2,1,1,2,2)</f>
        <v>2</v>
      </c>
      <c r="BW24" s="198">
        <v>1</v>
      </c>
      <c r="BX24" s="198">
        <v>1</v>
      </c>
      <c r="BY24" s="205">
        <f t="shared" si="14"/>
        <v>4</v>
      </c>
      <c r="CB24" s="204">
        <v>21</v>
      </c>
      <c r="CC24" s="198">
        <v>2</v>
      </c>
      <c r="CD24" s="198">
        <f>MEDIAN(3,3,3,2)</f>
        <v>3</v>
      </c>
      <c r="CE24" s="198">
        <v>2</v>
      </c>
      <c r="CF24" s="198">
        <v>0</v>
      </c>
      <c r="CG24" s="205">
        <f t="shared" si="15"/>
        <v>7</v>
      </c>
      <c r="CJ24" s="204">
        <v>21</v>
      </c>
      <c r="CK24" s="198">
        <v>0</v>
      </c>
      <c r="CL24" s="198">
        <f>MEDIAN(3,3,3,3)</f>
        <v>3</v>
      </c>
      <c r="CM24" s="198">
        <v>3</v>
      </c>
      <c r="CN24" s="198">
        <v>3</v>
      </c>
      <c r="CO24" s="205">
        <f t="shared" si="16"/>
        <v>9</v>
      </c>
      <c r="CP24" s="198">
        <f>MEDIAN(3,3,3,3)</f>
        <v>3</v>
      </c>
      <c r="CQ24" s="75">
        <f t="shared" si="17"/>
        <v>9</v>
      </c>
      <c r="CS24" s="204">
        <v>21</v>
      </c>
      <c r="CT24" s="198">
        <v>1</v>
      </c>
      <c r="CU24" s="198">
        <f>MEDIAN(2,2,2,2,2,2,2,2,2)</f>
        <v>2</v>
      </c>
      <c r="CV24" s="198">
        <v>1</v>
      </c>
      <c r="CW24" s="198">
        <v>1</v>
      </c>
      <c r="CX24" s="205">
        <f t="shared" si="18"/>
        <v>5</v>
      </c>
      <c r="CY24" s="198">
        <f>MEDIAN(2,2,2,2,2,2,2,2,2)</f>
        <v>2</v>
      </c>
      <c r="CZ24" s="75">
        <f t="shared" si="19"/>
        <v>5</v>
      </c>
      <c r="DB24" s="190">
        <v>21</v>
      </c>
      <c r="DC24" s="16">
        <v>0</v>
      </c>
      <c r="DD24" s="193">
        <f>AVERAGE(2,3,3,3,3,3,3,3,2)</f>
        <v>2.7777777777777777</v>
      </c>
      <c r="DE24" s="16">
        <v>2</v>
      </c>
      <c r="DF24" s="16">
        <v>0</v>
      </c>
      <c r="DG24" s="18">
        <f t="shared" si="20"/>
        <v>4.7777777777777777</v>
      </c>
      <c r="DH24" s="193">
        <f>MEDIAN(2,3,3,3,3,3,3,3,2)</f>
        <v>3</v>
      </c>
      <c r="DI24" s="75">
        <f t="shared" si="21"/>
        <v>5</v>
      </c>
      <c r="DK24" s="190">
        <v>21</v>
      </c>
      <c r="DL24" s="16">
        <v>0</v>
      </c>
      <c r="DM24" s="193">
        <f>AVERAGE(2,2,3,3,3,2,2,2,3,3,3,2,2,2,2,3,3,3,2)</f>
        <v>2.4736842105263159</v>
      </c>
      <c r="DN24" s="16">
        <v>3</v>
      </c>
      <c r="DO24" s="16">
        <v>2</v>
      </c>
      <c r="DP24" s="18">
        <f t="shared" si="22"/>
        <v>7.4736842105263159</v>
      </c>
      <c r="DQ24" s="193">
        <f>MEDIAN(2,2,3,3,3,2,2,2,3,3,3,2,2,2,2,3,3,3,2)</f>
        <v>2</v>
      </c>
      <c r="DR24" s="75">
        <f t="shared" si="23"/>
        <v>7</v>
      </c>
      <c r="DT24" s="190">
        <v>21</v>
      </c>
      <c r="DU24" s="16">
        <v>0</v>
      </c>
      <c r="DV24" s="193">
        <f>AVERAGE(2,3,2,3)</f>
        <v>2.5</v>
      </c>
      <c r="DW24" s="16">
        <v>2</v>
      </c>
      <c r="DX24" s="16">
        <v>1</v>
      </c>
      <c r="DY24" s="18">
        <f t="shared" si="24"/>
        <v>5.5</v>
      </c>
      <c r="DZ24" s="193">
        <f>MEDIAN(2,3,2,3)</f>
        <v>2.5</v>
      </c>
      <c r="EA24" s="75">
        <f t="shared" si="25"/>
        <v>5.5</v>
      </c>
      <c r="EC24" s="190">
        <v>21</v>
      </c>
      <c r="ED24" s="16">
        <v>1</v>
      </c>
      <c r="EE24" s="193">
        <f>AVERAGE(3,2,2)</f>
        <v>2.3333333333333335</v>
      </c>
      <c r="EF24" s="16">
        <v>2</v>
      </c>
      <c r="EG24" s="16">
        <v>1</v>
      </c>
      <c r="EH24" s="18">
        <f t="shared" si="26"/>
        <v>6.3333333333333339</v>
      </c>
      <c r="EI24" s="193">
        <f>MEDIAN(3,2,2)</f>
        <v>2</v>
      </c>
      <c r="EJ24" s="75">
        <f t="shared" si="27"/>
        <v>6</v>
      </c>
      <c r="EL24" s="204">
        <v>21</v>
      </c>
      <c r="EM24" s="198">
        <v>1</v>
      </c>
      <c r="EN24" s="198">
        <f>AVERAGE(2,3,1,1,2,2,2,2)</f>
        <v>1.875</v>
      </c>
      <c r="EO24" s="198">
        <v>3</v>
      </c>
      <c r="EP24" s="198">
        <v>1</v>
      </c>
      <c r="EQ24" s="205">
        <f t="shared" si="28"/>
        <v>6.875</v>
      </c>
      <c r="ER24" s="195">
        <f>MEDIAN(2,3,1,1,2,2,2,2)</f>
        <v>2</v>
      </c>
      <c r="ES24">
        <f t="shared" si="29"/>
        <v>7</v>
      </c>
      <c r="EU24" s="204">
        <v>21</v>
      </c>
      <c r="EV24" s="198">
        <v>1</v>
      </c>
      <c r="EW24" s="198">
        <f>AVERAGE(3,2,2,2,2,2,2,3,3,2,2,3,3,2,3,3,2,2)</f>
        <v>2.3888888888888888</v>
      </c>
      <c r="EX24" s="198">
        <v>2</v>
      </c>
      <c r="EY24" s="198">
        <v>1</v>
      </c>
      <c r="EZ24" s="205">
        <f t="shared" si="30"/>
        <v>6.3888888888888893</v>
      </c>
      <c r="FA24" s="195">
        <f>MEDIAN(3,2,2,2,2,2,2,3,3,2,2,3,3,2,3,3,2,2)</f>
        <v>2</v>
      </c>
      <c r="FB24">
        <f t="shared" si="31"/>
        <v>6</v>
      </c>
      <c r="FD24" s="204">
        <v>21</v>
      </c>
      <c r="FE24" s="198">
        <v>1</v>
      </c>
      <c r="FF24" s="198">
        <f>AVERAGE(3,3,3,3,3,3,3,3,3)</f>
        <v>3</v>
      </c>
      <c r="FG24" s="198">
        <v>0</v>
      </c>
      <c r="FH24" s="198">
        <v>0</v>
      </c>
      <c r="FI24" s="205">
        <f t="shared" si="32"/>
        <v>4</v>
      </c>
      <c r="FJ24" s="195">
        <f>MEDIAN(3,3,3,3,3,3,3,3,3)</f>
        <v>3</v>
      </c>
      <c r="FK24">
        <f t="shared" si="33"/>
        <v>4</v>
      </c>
      <c r="FM24" s="204">
        <v>21</v>
      </c>
      <c r="FN24" s="198">
        <v>1</v>
      </c>
      <c r="FO24" s="198">
        <f>AVERAGE(3,3,2,3,3,2,3)</f>
        <v>2.7142857142857144</v>
      </c>
      <c r="FP24" s="198">
        <v>1</v>
      </c>
      <c r="FQ24" s="198">
        <v>0</v>
      </c>
      <c r="FR24" s="205">
        <f t="shared" si="34"/>
        <v>4.7142857142857144</v>
      </c>
      <c r="FS24" s="195">
        <f>MEDIAN(3,3,2,3,3,2,3)</f>
        <v>3</v>
      </c>
      <c r="FT24">
        <f t="shared" si="35"/>
        <v>5</v>
      </c>
      <c r="FV24" s="204">
        <v>21</v>
      </c>
      <c r="FW24" s="198">
        <v>0</v>
      </c>
      <c r="FX24" s="198">
        <f>MEDIAN(3,3,3,3,3,3,3,3,2,3,3,3,3,2,3)</f>
        <v>3</v>
      </c>
      <c r="FY24" s="198">
        <v>1</v>
      </c>
      <c r="FZ24" s="198">
        <v>1</v>
      </c>
      <c r="GA24" s="205">
        <f t="shared" si="36"/>
        <v>5</v>
      </c>
      <c r="GB24" s="198">
        <f>MEDIAN(3,3,3,3,3,3,3,3,2,3,3,3,3,2,3)</f>
        <v>3</v>
      </c>
      <c r="GC24">
        <f t="shared" si="37"/>
        <v>5</v>
      </c>
      <c r="GE24" s="204">
        <v>21</v>
      </c>
      <c r="GF24" s="198">
        <v>1</v>
      </c>
      <c r="GG24" s="198">
        <f>MEDIAN(3,2,2,2,3,3,2)</f>
        <v>2</v>
      </c>
      <c r="GH24" s="198">
        <v>0</v>
      </c>
      <c r="GI24" s="198">
        <v>0</v>
      </c>
      <c r="GJ24" s="18">
        <f t="shared" si="38"/>
        <v>3</v>
      </c>
      <c r="GK24" s="198">
        <f>MEDIAN(3,2,2,2,3,3,2)</f>
        <v>2</v>
      </c>
      <c r="GL24">
        <f t="shared" si="39"/>
        <v>3</v>
      </c>
      <c r="GN24" s="204">
        <v>21</v>
      </c>
      <c r="GO24" s="198">
        <v>0</v>
      </c>
      <c r="GP24" s="198">
        <f>AVERAGE(1,3,3,3,3,3)</f>
        <v>2.6666666666666665</v>
      </c>
      <c r="GQ24" s="198">
        <v>2</v>
      </c>
      <c r="GR24" s="198">
        <v>0</v>
      </c>
      <c r="GS24" s="205">
        <f t="shared" si="40"/>
        <v>4.6666666666666661</v>
      </c>
      <c r="GT24" s="196">
        <f>MEDIAN(1,3,3,3,3,3)</f>
        <v>3</v>
      </c>
      <c r="GU24" s="32">
        <f t="shared" si="41"/>
        <v>5</v>
      </c>
      <c r="GW24" s="204">
        <v>21</v>
      </c>
      <c r="GX24" s="198">
        <v>0</v>
      </c>
      <c r="GY24" s="198">
        <f>AVERAGE(3,3,2,2,3)</f>
        <v>2.6</v>
      </c>
      <c r="GZ24" s="198">
        <v>1</v>
      </c>
      <c r="HA24" s="198">
        <v>1</v>
      </c>
      <c r="HB24" s="205">
        <f t="shared" si="42"/>
        <v>4.5999999999999996</v>
      </c>
      <c r="HC24" s="196">
        <f>MEDIAN(3,3,2,2,3)</f>
        <v>3</v>
      </c>
      <c r="HD24">
        <f t="shared" si="43"/>
        <v>5</v>
      </c>
      <c r="HF24" s="204">
        <v>21</v>
      </c>
      <c r="HG24" s="198">
        <v>1</v>
      </c>
      <c r="HH24" s="198">
        <f>AVERAGE(3,3,3,3,3,2,3)</f>
        <v>2.8571428571428572</v>
      </c>
      <c r="HI24" s="198">
        <v>3</v>
      </c>
      <c r="HJ24" s="198">
        <v>1</v>
      </c>
      <c r="HK24" s="205">
        <f t="shared" si="44"/>
        <v>7.8571428571428577</v>
      </c>
      <c r="HL24" s="198">
        <f>MEDIAN(3,3,3,3,3,2,3)</f>
        <v>3</v>
      </c>
      <c r="HM24">
        <f t="shared" si="45"/>
        <v>8</v>
      </c>
      <c r="HO24" s="204">
        <v>21</v>
      </c>
      <c r="HP24" s="198">
        <v>0</v>
      </c>
      <c r="HQ24" s="198">
        <f>AVERAGE(2,3,2,2,3,2)</f>
        <v>2.3333333333333335</v>
      </c>
      <c r="HR24" s="198">
        <v>3</v>
      </c>
      <c r="HS24" s="198">
        <v>1</v>
      </c>
      <c r="HT24" s="205">
        <f t="shared" si="46"/>
        <v>6.3333333333333339</v>
      </c>
      <c r="HU24" s="198">
        <f>MEDIAN(2,3,2,2,3,2)</f>
        <v>2</v>
      </c>
      <c r="HV24">
        <f t="shared" si="47"/>
        <v>6</v>
      </c>
      <c r="HX24" s="204">
        <v>21</v>
      </c>
      <c r="HY24" s="198">
        <v>0</v>
      </c>
      <c r="HZ24" s="198">
        <f>MEDIAN(1,2,2,2,2,2,2,2)</f>
        <v>2</v>
      </c>
      <c r="IA24" s="198">
        <v>1</v>
      </c>
      <c r="IB24" s="198">
        <v>1</v>
      </c>
      <c r="IC24" s="205">
        <f>SUM(HY24:IB24)</f>
        <v>4</v>
      </c>
      <c r="ID24" s="198">
        <f>MEDIAN(1,2,2,2,2,2,2,2)</f>
        <v>2</v>
      </c>
      <c r="IE24">
        <f>SUM(HY24,IA24,IB24,ID24)</f>
        <v>4</v>
      </c>
      <c r="IG24" s="204">
        <v>21</v>
      </c>
      <c r="IH24" s="198">
        <v>1</v>
      </c>
      <c r="II24" s="198">
        <f>MEDIAN(3,3,3,3,3,3,3,2,3,3,3,2,3,3,3)</f>
        <v>3</v>
      </c>
      <c r="IJ24" s="198">
        <v>2</v>
      </c>
      <c r="IK24" s="198">
        <v>1</v>
      </c>
      <c r="IL24" s="205">
        <f t="shared" si="50"/>
        <v>7</v>
      </c>
      <c r="IM24" s="198">
        <f>MEDIAN(3,3,3,3,3,3,3,2,3,3,3,2,3,3,3)</f>
        <v>3</v>
      </c>
      <c r="IN24">
        <f t="shared" si="51"/>
        <v>7</v>
      </c>
      <c r="IP24" s="204">
        <v>21</v>
      </c>
      <c r="IQ24" s="198">
        <v>0</v>
      </c>
      <c r="IR24" s="198">
        <f>AVERAGE(3,2,3)</f>
        <v>2.6666666666666665</v>
      </c>
      <c r="IS24" s="198">
        <v>1</v>
      </c>
      <c r="IT24" s="198">
        <v>1</v>
      </c>
      <c r="IU24" s="205">
        <f t="shared" si="52"/>
        <v>4.6666666666666661</v>
      </c>
      <c r="IV24" s="198">
        <f>MEDIAN(3,2,3)</f>
        <v>3</v>
      </c>
      <c r="IW24">
        <f t="shared" si="53"/>
        <v>5</v>
      </c>
      <c r="IY24" s="204">
        <v>21</v>
      </c>
      <c r="IZ24" s="198"/>
      <c r="JA24" s="198">
        <f>AVERAGE(2,3,3,3)</f>
        <v>2.75</v>
      </c>
      <c r="JB24" s="198">
        <v>3</v>
      </c>
      <c r="JC24" s="198">
        <v>2</v>
      </c>
      <c r="JD24" s="205">
        <f t="shared" si="54"/>
        <v>7.75</v>
      </c>
      <c r="JE24" s="198">
        <f>MEDIAN(2,3,3,3)</f>
        <v>3</v>
      </c>
      <c r="JF24">
        <f t="shared" si="55"/>
        <v>8</v>
      </c>
      <c r="JH24" s="204">
        <v>21</v>
      </c>
      <c r="JI24" s="198">
        <v>0</v>
      </c>
      <c r="JJ24" s="198">
        <f>MEDIAN(3,2,2,3,3,3,2,3,3,3,3,3,3,2,3,3,3,3)</f>
        <v>3</v>
      </c>
      <c r="JK24" s="198">
        <v>2</v>
      </c>
      <c r="JL24" s="198">
        <v>1</v>
      </c>
      <c r="JM24" s="205">
        <f t="shared" si="56"/>
        <v>6</v>
      </c>
      <c r="JN24" s="198">
        <f>MEDIAN(3,2,2,3,3,3,2,3,3,3,3,3,3,2,3,3,3,3)</f>
        <v>3</v>
      </c>
      <c r="JO24">
        <f t="shared" si="57"/>
        <v>6</v>
      </c>
      <c r="JQ24" s="204">
        <v>21</v>
      </c>
      <c r="JR24" s="198">
        <v>1</v>
      </c>
      <c r="JS24" s="198">
        <f>MEDIAN(3,2,2,2,3,3,2,3,3)</f>
        <v>3</v>
      </c>
      <c r="JT24" s="198">
        <v>3</v>
      </c>
      <c r="JU24" s="198">
        <v>2</v>
      </c>
      <c r="JV24" s="205">
        <f t="shared" si="58"/>
        <v>9</v>
      </c>
      <c r="JW24" s="198">
        <f>MEDIAN(3,2,2,2,3,3,2,3,3)</f>
        <v>3</v>
      </c>
      <c r="JX24">
        <f t="shared" si="59"/>
        <v>9</v>
      </c>
      <c r="JZ24" s="204">
        <v>21</v>
      </c>
      <c r="KA24" s="198">
        <v>0</v>
      </c>
      <c r="KB24" s="198">
        <f>AVERAGE(3,2,2,1,2,2,2,3,2,3,1,1)</f>
        <v>2</v>
      </c>
      <c r="KC24" s="198">
        <v>1</v>
      </c>
      <c r="KD24" s="198">
        <v>1</v>
      </c>
      <c r="KE24" s="205">
        <f t="shared" si="60"/>
        <v>4</v>
      </c>
      <c r="KF24" s="198">
        <f>MEDIAN(3,2,2,1,2,2,2,3,2,3,1,1)</f>
        <v>2</v>
      </c>
      <c r="KG24">
        <f t="shared" si="61"/>
        <v>4</v>
      </c>
      <c r="KI24" s="204">
        <v>21</v>
      </c>
      <c r="KJ24" s="198">
        <v>0</v>
      </c>
      <c r="KK24" s="198">
        <f>AVERAGE(3,3,2,2,3,3,2,3,2,3,2,3)</f>
        <v>2.5833333333333335</v>
      </c>
      <c r="KL24" s="198">
        <v>1</v>
      </c>
      <c r="KM24" s="198">
        <v>1</v>
      </c>
      <c r="KN24" s="205">
        <f t="shared" si="62"/>
        <v>4.5833333333333339</v>
      </c>
      <c r="KO24" s="198">
        <f>MEDIAN(3,3,2,2,3,3,2,3,2,3,2,3)</f>
        <v>3</v>
      </c>
      <c r="KP24">
        <f t="shared" si="63"/>
        <v>5</v>
      </c>
      <c r="KR24" s="204">
        <v>21</v>
      </c>
      <c r="KS24" s="198">
        <v>2</v>
      </c>
      <c r="KT24" s="198">
        <f>AVERAGE(3,3,2)</f>
        <v>2.6666666666666665</v>
      </c>
      <c r="KU24" s="198">
        <v>3</v>
      </c>
      <c r="KV24" s="198">
        <v>2</v>
      </c>
      <c r="KW24" s="205">
        <f t="shared" si="64"/>
        <v>9.6666666666666661</v>
      </c>
      <c r="KX24" s="198">
        <f>MEDIAN(3,3,2)</f>
        <v>3</v>
      </c>
      <c r="KY24">
        <f t="shared" si="65"/>
        <v>10</v>
      </c>
      <c r="LA24" s="204">
        <v>21</v>
      </c>
      <c r="LB24" s="198">
        <v>2</v>
      </c>
      <c r="LC24" s="198">
        <f>AVERAGE(3,2,3,2,2,3,2,3)</f>
        <v>2.5</v>
      </c>
      <c r="LD24" s="198">
        <v>3</v>
      </c>
      <c r="LE24" s="198">
        <v>3</v>
      </c>
      <c r="LF24" s="205">
        <f t="shared" si="66"/>
        <v>10.5</v>
      </c>
      <c r="LG24" s="198">
        <f>MEDIAN(3,2,3,2,2,3,2,3)</f>
        <v>2.5</v>
      </c>
      <c r="LH24">
        <f t="shared" si="67"/>
        <v>10.5</v>
      </c>
      <c r="LK24" s="204">
        <v>21</v>
      </c>
      <c r="LL24" s="198">
        <v>0</v>
      </c>
      <c r="LM24" s="198">
        <f>AVERAGE(2,3,3,3,3,2,2)</f>
        <v>2.5714285714285716</v>
      </c>
      <c r="LN24" s="198">
        <v>2</v>
      </c>
      <c r="LO24" s="198">
        <v>2</v>
      </c>
      <c r="LP24" s="205">
        <f t="shared" si="68"/>
        <v>6.5714285714285712</v>
      </c>
      <c r="LQ24" s="198">
        <f>MEDIAN(2,3,3,3,3,2,2)</f>
        <v>3</v>
      </c>
      <c r="LR24">
        <f t="shared" si="69"/>
        <v>7</v>
      </c>
      <c r="LT24" s="204">
        <v>21</v>
      </c>
      <c r="LU24" s="198">
        <v>0</v>
      </c>
      <c r="LV24" s="198">
        <f>AVERAGE(2,3,3,3,3,3,3)</f>
        <v>2.8571428571428572</v>
      </c>
      <c r="LW24" s="198">
        <v>2</v>
      </c>
      <c r="LX24" s="198">
        <v>2</v>
      </c>
      <c r="LY24" s="205">
        <f t="shared" si="70"/>
        <v>6.8571428571428577</v>
      </c>
      <c r="LZ24" s="198">
        <f>MEDIAN(2,3,3,3,3,3,3)</f>
        <v>3</v>
      </c>
      <c r="MA24">
        <f t="shared" si="71"/>
        <v>7</v>
      </c>
      <c r="MC24" s="204">
        <v>21</v>
      </c>
      <c r="MD24" s="198">
        <v>0</v>
      </c>
      <c r="ME24" s="198">
        <f>AVERAGE(3,3,3,3,3,3,3,3)</f>
        <v>3</v>
      </c>
      <c r="MF24" s="198">
        <v>3</v>
      </c>
      <c r="MG24" s="198">
        <v>1</v>
      </c>
      <c r="MH24" s="205">
        <f t="shared" si="72"/>
        <v>7</v>
      </c>
      <c r="MI24" s="198">
        <f>MEDIAN(3,3,3,3,3,3,3,3)</f>
        <v>3</v>
      </c>
      <c r="MJ24">
        <f t="shared" si="73"/>
        <v>7</v>
      </c>
      <c r="ML24" s="204">
        <v>21</v>
      </c>
      <c r="MM24" s="198">
        <v>1</v>
      </c>
      <c r="MN24" s="198">
        <f>AVERAGE(3,3,3,3,2,3,3,3,3,3,3,3,3,3,3,3,3,2,3,3,3)</f>
        <v>2.9047619047619047</v>
      </c>
      <c r="MO24" s="198">
        <v>1</v>
      </c>
      <c r="MP24" s="198">
        <v>0</v>
      </c>
      <c r="MQ24" s="205">
        <f t="shared" si="74"/>
        <v>4.9047619047619051</v>
      </c>
      <c r="MR24" s="198">
        <f>MEDIAN(3,3,3,3,2,3,3,3,3,3,3,3,3,3,3,3,3,2,3,3,3)</f>
        <v>3</v>
      </c>
      <c r="MS24">
        <f t="shared" si="75"/>
        <v>5</v>
      </c>
      <c r="MU24" s="204">
        <v>21</v>
      </c>
      <c r="MV24" s="198">
        <v>2</v>
      </c>
      <c r="MW24" s="198">
        <f>MEDIAN(3,3,3,2,2,2,3,3)</f>
        <v>3</v>
      </c>
      <c r="MX24" s="198">
        <v>2</v>
      </c>
      <c r="MY24" s="198">
        <v>1</v>
      </c>
      <c r="MZ24" s="205">
        <f t="shared" si="76"/>
        <v>8</v>
      </c>
      <c r="NA24" s="198">
        <f>MEDIAN(3,3,3,2,2,2,3,3)</f>
        <v>3</v>
      </c>
      <c r="NB24">
        <f t="shared" si="77"/>
        <v>8</v>
      </c>
      <c r="ND24" s="204">
        <v>21</v>
      </c>
      <c r="NE24" s="198">
        <v>1</v>
      </c>
      <c r="NF24" s="198">
        <f>MEDIAN(3,2,3,2,2)</f>
        <v>2</v>
      </c>
      <c r="NG24" s="198">
        <v>2</v>
      </c>
      <c r="NH24" s="198">
        <v>1</v>
      </c>
      <c r="NI24" s="205">
        <f t="shared" si="78"/>
        <v>6</v>
      </c>
      <c r="NJ24" s="198">
        <f>MEDIAN(3,2,3,2,2)</f>
        <v>2</v>
      </c>
      <c r="NK24">
        <f t="shared" si="79"/>
        <v>6</v>
      </c>
      <c r="NM24" s="204">
        <v>21</v>
      </c>
      <c r="NN24" s="198">
        <v>1</v>
      </c>
      <c r="NO24" s="198">
        <f>AVERAGE(2,3,3)</f>
        <v>2.6666666666666665</v>
      </c>
      <c r="NP24" s="198">
        <v>3</v>
      </c>
      <c r="NQ24" s="198">
        <v>2</v>
      </c>
      <c r="NR24" s="205">
        <f t="shared" si="80"/>
        <v>8.6666666666666661</v>
      </c>
      <c r="NS24" s="198">
        <f>MEDIAN(2,3,3)</f>
        <v>3</v>
      </c>
      <c r="NT24">
        <f t="shared" si="81"/>
        <v>9</v>
      </c>
      <c r="NV24" s="204">
        <v>21</v>
      </c>
      <c r="NW24" s="198">
        <v>2</v>
      </c>
      <c r="NX24" s="198">
        <f>AVERAGE(3,3,3,2,3,3,3,3,3,3,3)</f>
        <v>2.9090909090909092</v>
      </c>
      <c r="NY24" s="198">
        <v>3</v>
      </c>
      <c r="NZ24" s="198">
        <v>1</v>
      </c>
      <c r="OA24" s="205">
        <f t="shared" si="82"/>
        <v>8.9090909090909101</v>
      </c>
      <c r="OB24" s="198">
        <f>MEDIAN(3,3,3,2,3,3,3,3,3,3,3)</f>
        <v>3</v>
      </c>
      <c r="OC24">
        <f t="shared" si="83"/>
        <v>9</v>
      </c>
      <c r="OE24" s="204">
        <v>21</v>
      </c>
      <c r="OF24" s="198">
        <v>0</v>
      </c>
      <c r="OG24" s="198">
        <f>MEDIAN(3,3,3)</f>
        <v>3</v>
      </c>
      <c r="OH24" s="198">
        <v>3</v>
      </c>
      <c r="OI24" s="198">
        <v>2</v>
      </c>
      <c r="OJ24" s="205">
        <f t="shared" si="84"/>
        <v>8</v>
      </c>
      <c r="OK24" s="198">
        <f>MEDIAN(3,3,3)</f>
        <v>3</v>
      </c>
      <c r="OL24">
        <f t="shared" si="85"/>
        <v>8</v>
      </c>
      <c r="ON24" s="204">
        <v>21</v>
      </c>
      <c r="OO24" s="198">
        <v>1</v>
      </c>
      <c r="OP24" s="198">
        <f>MEDIAN(3,3)</f>
        <v>3</v>
      </c>
      <c r="OQ24" s="198">
        <v>0</v>
      </c>
      <c r="OR24" s="198">
        <v>0</v>
      </c>
      <c r="OS24" s="205">
        <f t="shared" si="86"/>
        <v>4</v>
      </c>
      <c r="OT24" s="198">
        <f>MEDIAN(3,3)</f>
        <v>3</v>
      </c>
      <c r="OU24">
        <f t="shared" si="87"/>
        <v>4</v>
      </c>
      <c r="OW24" s="204">
        <v>21</v>
      </c>
      <c r="OX24" s="198">
        <v>0</v>
      </c>
      <c r="OY24" s="198">
        <f>AVERAGE(3,3,2,2,3,2,2,2,2,2,3,3,3,2)</f>
        <v>2.4285714285714284</v>
      </c>
      <c r="OZ24" s="198">
        <v>2</v>
      </c>
      <c r="PA24" s="198">
        <v>2</v>
      </c>
      <c r="PB24" s="205">
        <f t="shared" si="88"/>
        <v>6.4285714285714288</v>
      </c>
      <c r="PC24" s="198">
        <f>MEDIAN(3,3,2,2,3,2,2,2,2,2,3,3,3,2)</f>
        <v>2</v>
      </c>
      <c r="PD24">
        <f t="shared" si="89"/>
        <v>6</v>
      </c>
      <c r="PF24" s="204">
        <v>21</v>
      </c>
      <c r="PG24" s="198">
        <v>1</v>
      </c>
      <c r="PH24" s="198">
        <f>AVERAGE(2,2,1)</f>
        <v>1.6666666666666667</v>
      </c>
      <c r="PI24" s="198">
        <v>1</v>
      </c>
      <c r="PJ24" s="198">
        <v>1</v>
      </c>
      <c r="PK24" s="205">
        <f t="shared" si="90"/>
        <v>4.666666666666667</v>
      </c>
      <c r="PL24" s="198">
        <f>MEDIAN(2,2,1)</f>
        <v>2</v>
      </c>
      <c r="PM24">
        <f t="shared" si="91"/>
        <v>5</v>
      </c>
      <c r="PO24" s="204">
        <v>21</v>
      </c>
      <c r="PP24" s="198">
        <v>0</v>
      </c>
      <c r="PQ24" s="198">
        <f>MEDIAN(2,3,2,2,3,2,2,2,2,2,2,1,3)</f>
        <v>2</v>
      </c>
      <c r="PR24" s="198">
        <v>1</v>
      </c>
      <c r="PS24" s="198">
        <v>1</v>
      </c>
      <c r="PT24" s="205">
        <f t="shared" si="92"/>
        <v>4</v>
      </c>
      <c r="PV24" s="204">
        <v>21</v>
      </c>
      <c r="PW24" s="198">
        <v>1</v>
      </c>
      <c r="PX24" s="198">
        <f>MEDIAN(3,2,2,2,3,2,2,3)</f>
        <v>2</v>
      </c>
      <c r="PY24" s="198">
        <v>2</v>
      </c>
      <c r="PZ24" s="198">
        <v>1</v>
      </c>
      <c r="QA24" s="205">
        <f t="shared" si="93"/>
        <v>6</v>
      </c>
      <c r="QB24" s="198">
        <f>MEDIAN(3,2,2,2,3,2,2,3)</f>
        <v>2</v>
      </c>
      <c r="QC24">
        <f t="shared" si="94"/>
        <v>6</v>
      </c>
      <c r="QE24" s="204">
        <v>21</v>
      </c>
      <c r="QF24" s="198">
        <v>0</v>
      </c>
      <c r="QG24" s="198">
        <f>MEDIAN(3,2,3,2,3,3,3,2,3)</f>
        <v>3</v>
      </c>
      <c r="QH24" s="198">
        <v>0</v>
      </c>
      <c r="QI24" s="198">
        <v>0</v>
      </c>
      <c r="QJ24" s="205">
        <f t="shared" si="95"/>
        <v>3</v>
      </c>
      <c r="QK24" s="198">
        <f>MEDIAN(3,2,3,2,3,3,3,2,3)</f>
        <v>3</v>
      </c>
      <c r="QL24">
        <f t="shared" si="96"/>
        <v>3</v>
      </c>
      <c r="QN24" s="204">
        <v>21</v>
      </c>
      <c r="QO24" s="198">
        <v>2</v>
      </c>
      <c r="QP24" s="198">
        <f>MEDIAN(3,3,2,2,3,3,2,2,3,2,3,2,2,3,2,3)</f>
        <v>2.5</v>
      </c>
      <c r="QQ24" s="198">
        <v>3</v>
      </c>
      <c r="QR24" s="198">
        <v>2</v>
      </c>
      <c r="QS24" s="205">
        <f t="shared" si="97"/>
        <v>9.5</v>
      </c>
      <c r="QT24" s="198">
        <f>MEDIAN(3,3,2,2,3,3,2,2,3,2,3,2,2,3,2,3)</f>
        <v>2.5</v>
      </c>
      <c r="QU24">
        <f t="shared" si="98"/>
        <v>9.5</v>
      </c>
      <c r="QW24" s="204">
        <v>21</v>
      </c>
      <c r="QX24" s="198">
        <v>1</v>
      </c>
      <c r="QY24" s="198">
        <f>AVERAGE(3,3,3,2,3,2,2,2,3,3,2)</f>
        <v>2.5454545454545454</v>
      </c>
      <c r="QZ24" s="198">
        <v>3</v>
      </c>
      <c r="RA24" s="198">
        <v>1</v>
      </c>
      <c r="RB24" s="205">
        <f t="shared" si="99"/>
        <v>7.545454545454545</v>
      </c>
      <c r="RC24" s="198">
        <f>MEDIAN(3,3,3,2,3,2,2,2,3,3,2)</f>
        <v>3</v>
      </c>
      <c r="RD24">
        <f t="shared" si="100"/>
        <v>8</v>
      </c>
      <c r="RF24" s="204">
        <v>21</v>
      </c>
      <c r="RG24" s="198">
        <v>1</v>
      </c>
      <c r="RH24" s="198">
        <f>AVERAGE(3,3,3,3,3,3,3,3,3,3,3,2,2,3,3,2,3)</f>
        <v>2.8235294117647061</v>
      </c>
      <c r="RI24" s="198">
        <v>2</v>
      </c>
      <c r="RJ24" s="198">
        <v>1</v>
      </c>
      <c r="RK24" s="205">
        <f t="shared" si="101"/>
        <v>6.8235294117647065</v>
      </c>
      <c r="RL24" s="198">
        <f>MEDIAN(3,3,3,3,3,3,3,3,3,3,3,2,2,3,3,2,3)</f>
        <v>3</v>
      </c>
      <c r="RM24">
        <f t="shared" si="102"/>
        <v>7</v>
      </c>
      <c r="RO24" s="204">
        <v>21</v>
      </c>
      <c r="RP24" s="198">
        <v>2</v>
      </c>
      <c r="RQ24" s="198">
        <f>AVERAGE(3,3,3,3,3,3,3,3,2,3)</f>
        <v>2.9</v>
      </c>
      <c r="RR24" s="198">
        <v>3</v>
      </c>
      <c r="RS24" s="198">
        <v>1</v>
      </c>
      <c r="RT24" s="205">
        <f t="shared" si="103"/>
        <v>8.9</v>
      </c>
      <c r="RU24" s="198">
        <f>MEDIAN(3,3,3,3,3,3,3,3,2,3)</f>
        <v>3</v>
      </c>
      <c r="RV24">
        <f t="shared" si="104"/>
        <v>9</v>
      </c>
      <c r="RX24" s="204">
        <v>21</v>
      </c>
      <c r="RY24" s="198">
        <v>1</v>
      </c>
      <c r="RZ24" s="198">
        <f>AVERAGE(3,3,3,3,3,2,3,3)</f>
        <v>2.875</v>
      </c>
      <c r="SA24" s="198">
        <v>3</v>
      </c>
      <c r="SB24" s="198">
        <v>2</v>
      </c>
      <c r="SC24" s="205">
        <f t="shared" si="105"/>
        <v>8.875</v>
      </c>
      <c r="SD24" s="198">
        <f>MEDIAN(3,3,3,3,3,2,3,3)</f>
        <v>3</v>
      </c>
      <c r="SE24">
        <f t="shared" si="106"/>
        <v>9</v>
      </c>
      <c r="SG24" s="204">
        <v>21</v>
      </c>
      <c r="SH24" s="198">
        <v>1</v>
      </c>
      <c r="SI24" s="198">
        <f>MEDIAN(3,3,2,3,3,3,3)</f>
        <v>3</v>
      </c>
      <c r="SJ24" s="198">
        <v>3</v>
      </c>
      <c r="SK24" s="198">
        <v>1</v>
      </c>
      <c r="SL24" s="205">
        <f t="shared" si="107"/>
        <v>8</v>
      </c>
      <c r="SM24" s="198">
        <f>MEDIAN(3,3,2,3,3,3,3)</f>
        <v>3</v>
      </c>
      <c r="SN24">
        <f t="shared" si="108"/>
        <v>8</v>
      </c>
      <c r="SP24" s="204">
        <v>21</v>
      </c>
      <c r="SQ24" s="198">
        <v>0</v>
      </c>
      <c r="SR24" s="198">
        <f>MEDIAN(3,3,3,2,3,2)</f>
        <v>3</v>
      </c>
      <c r="SS24" s="198">
        <v>0</v>
      </c>
      <c r="ST24" s="198">
        <v>0</v>
      </c>
      <c r="SU24" s="205">
        <f t="shared" si="109"/>
        <v>3</v>
      </c>
      <c r="SV24" s="198">
        <f>MEDIAN(3,3,3,2,3,2)</f>
        <v>3</v>
      </c>
      <c r="SW24">
        <f t="shared" si="110"/>
        <v>3</v>
      </c>
      <c r="SY24" s="204">
        <v>21</v>
      </c>
      <c r="SZ24" s="198">
        <v>0</v>
      </c>
      <c r="TA24" s="198">
        <f>AVERAGE(3,3,3,2,2,3)</f>
        <v>2.6666666666666665</v>
      </c>
      <c r="TB24" s="198">
        <v>1</v>
      </c>
      <c r="TC24" s="198">
        <v>1</v>
      </c>
      <c r="TD24" s="205">
        <f t="shared" si="111"/>
        <v>4.6666666666666661</v>
      </c>
      <c r="TE24" s="198">
        <f>MEDIAN(3,3,3,2,2,3)</f>
        <v>3</v>
      </c>
      <c r="TF24">
        <f t="shared" si="112"/>
        <v>5</v>
      </c>
      <c r="TH24" s="204">
        <v>21</v>
      </c>
      <c r="TI24" s="198">
        <v>0</v>
      </c>
      <c r="TJ24" s="198">
        <f>MEDIAN(3,3,3,3,2,3,2,3)</f>
        <v>3</v>
      </c>
      <c r="TK24" s="198">
        <v>3</v>
      </c>
      <c r="TL24" s="198">
        <v>2</v>
      </c>
      <c r="TM24" s="205">
        <f t="shared" si="113"/>
        <v>8</v>
      </c>
      <c r="TN24" s="198">
        <f>MEDIAN(3,3,3,3,2,3,2,3)</f>
        <v>3</v>
      </c>
      <c r="TO24">
        <f t="shared" si="114"/>
        <v>8</v>
      </c>
      <c r="TQ24" s="204">
        <v>21</v>
      </c>
      <c r="TR24" s="198">
        <v>0</v>
      </c>
      <c r="TS24" s="198">
        <f>MEDIAN(3,3,2,3,2,3,3,3,3,3,3,2,3)</f>
        <v>3</v>
      </c>
      <c r="TT24" s="198">
        <v>3</v>
      </c>
      <c r="TU24" s="198">
        <v>1</v>
      </c>
      <c r="TV24" s="205">
        <f t="shared" si="115"/>
        <v>7</v>
      </c>
      <c r="TX24" s="204">
        <v>21</v>
      </c>
      <c r="TY24" s="198">
        <v>1</v>
      </c>
      <c r="TZ24" s="198">
        <f>MEDIAN(3,3,3,3,2,2)</f>
        <v>3</v>
      </c>
      <c r="UA24" s="198">
        <v>0</v>
      </c>
      <c r="UB24" s="198">
        <v>1</v>
      </c>
      <c r="UC24" s="205">
        <f t="shared" si="116"/>
        <v>5</v>
      </c>
      <c r="UD24" s="198">
        <f>MEDIAN(3,3,3,3,2,2)</f>
        <v>3</v>
      </c>
      <c r="UE24">
        <f t="shared" si="117"/>
        <v>5</v>
      </c>
      <c r="UG24" s="204">
        <v>21</v>
      </c>
      <c r="UH24" s="198">
        <v>0</v>
      </c>
      <c r="UI24" s="198">
        <f>MEDIAN(3,2,2,3,2,3,2)</f>
        <v>2</v>
      </c>
      <c r="UJ24" s="198">
        <v>1</v>
      </c>
      <c r="UK24" s="198">
        <v>1</v>
      </c>
      <c r="UL24" s="205">
        <f t="shared" si="118"/>
        <v>4</v>
      </c>
      <c r="UN24" s="204">
        <v>21</v>
      </c>
      <c r="UO24" s="198">
        <v>0</v>
      </c>
      <c r="UP24" s="198">
        <f>AVERAGE(2,3,3,2,2,3,3,3,3,3,3)</f>
        <v>2.7272727272727271</v>
      </c>
      <c r="UQ24" s="198">
        <v>2</v>
      </c>
      <c r="UR24" s="198">
        <v>2</v>
      </c>
      <c r="US24" s="205">
        <f t="shared" si="119"/>
        <v>6.7272727272727266</v>
      </c>
      <c r="UT24" s="198">
        <f>MEDIAN(2,3,3,2,2,3,3,3,3,3,3)</f>
        <v>3</v>
      </c>
      <c r="UU24">
        <f t="shared" si="120"/>
        <v>7</v>
      </c>
      <c r="UW24" s="204">
        <v>21</v>
      </c>
      <c r="UX24" s="198">
        <v>2</v>
      </c>
      <c r="UY24" s="198">
        <f>AVERAGE(3,3,3,3,3,3,3,3,3,3,3,3,2,3,2,3,2,3,3,3,3)</f>
        <v>2.8571428571428572</v>
      </c>
      <c r="UZ24" s="198">
        <v>3</v>
      </c>
      <c r="VA24" s="198">
        <v>3</v>
      </c>
      <c r="VB24" s="205">
        <f t="shared" si="121"/>
        <v>10.857142857142858</v>
      </c>
      <c r="VC24" s="198">
        <f>MEDIAN(3,3,3,3,3,3,3,3,3,3,3,3,2,3,2,3,2,3,3,3,3)</f>
        <v>3</v>
      </c>
      <c r="VD24">
        <f t="shared" si="122"/>
        <v>11</v>
      </c>
      <c r="VF24" s="204">
        <v>21</v>
      </c>
      <c r="VG24" s="198">
        <v>1</v>
      </c>
      <c r="VH24" s="198">
        <f>AVERAGE(3,2,2,3,2,3,3,3,3)</f>
        <v>2.6666666666666665</v>
      </c>
      <c r="VI24" s="198">
        <v>3</v>
      </c>
      <c r="VJ24" s="198">
        <v>2</v>
      </c>
      <c r="VK24" s="205">
        <f t="shared" si="123"/>
        <v>8.6666666666666661</v>
      </c>
      <c r="VL24" s="198">
        <f>MEDIAN(3,2,2,3,2,3,3,3,3)</f>
        <v>3</v>
      </c>
      <c r="VM24">
        <f t="shared" si="124"/>
        <v>9</v>
      </c>
      <c r="VO24" s="204">
        <v>21</v>
      </c>
      <c r="VP24" s="198">
        <v>2</v>
      </c>
      <c r="VQ24" s="198">
        <f>AVERAGE(2,3)</f>
        <v>2.5</v>
      </c>
      <c r="VR24" s="198">
        <v>3</v>
      </c>
      <c r="VS24" s="198">
        <v>1</v>
      </c>
      <c r="VT24" s="205">
        <f t="shared" si="125"/>
        <v>8.5</v>
      </c>
      <c r="VU24" s="198">
        <f>MEDIAN(2,3)</f>
        <v>2.5</v>
      </c>
      <c r="VV24">
        <f t="shared" si="126"/>
        <v>8.5</v>
      </c>
    </row>
    <row r="25" spans="2:594" ht="15" thickBot="1" x14ac:dyDescent="0.4">
      <c r="B25" s="165">
        <v>22</v>
      </c>
      <c r="C25" s="32">
        <v>0</v>
      </c>
      <c r="D25" s="32">
        <f>AVERAGE(2,3,2,2,2,3,2,3)</f>
        <v>2.375</v>
      </c>
      <c r="E25" s="32">
        <v>1</v>
      </c>
      <c r="F25" s="32">
        <v>1</v>
      </c>
      <c r="G25" s="33">
        <f t="shared" si="0"/>
        <v>4.375</v>
      </c>
      <c r="H25" s="32">
        <f>MEDIAN(2,3,2,2,2,3,2,3)</f>
        <v>2</v>
      </c>
      <c r="I25" s="75">
        <f t="shared" si="1"/>
        <v>4</v>
      </c>
      <c r="K25" s="165">
        <v>22</v>
      </c>
      <c r="L25" s="32">
        <v>0</v>
      </c>
      <c r="M25" s="32">
        <f>AVERAGE(2,2,2,3)</f>
        <v>2.25</v>
      </c>
      <c r="N25" s="32">
        <v>3</v>
      </c>
      <c r="O25" s="32">
        <v>2</v>
      </c>
      <c r="P25" s="33">
        <f t="shared" si="2"/>
        <v>7.25</v>
      </c>
      <c r="Q25" s="32">
        <f>MEDIAN(2,2,2,3)</f>
        <v>2</v>
      </c>
      <c r="R25" s="75">
        <f t="shared" si="3"/>
        <v>7</v>
      </c>
      <c r="T25" s="165">
        <v>22</v>
      </c>
      <c r="U25" s="32">
        <v>1</v>
      </c>
      <c r="V25" s="32">
        <f>AVERAGE(2,3,3,1,2,2,2)</f>
        <v>2.1428571428571428</v>
      </c>
      <c r="W25" s="32">
        <v>1</v>
      </c>
      <c r="X25" s="32">
        <v>0</v>
      </c>
      <c r="Y25" s="32">
        <f>MEDIAN(2,3,3,1,2,2,2)</f>
        <v>2</v>
      </c>
      <c r="Z25" s="18">
        <f t="shared" si="4"/>
        <v>4</v>
      </c>
      <c r="AB25" s="165">
        <v>22</v>
      </c>
      <c r="AC25" s="32">
        <v>0</v>
      </c>
      <c r="AD25" s="32">
        <f>AVERAGE(2,2,2,2,3,3,2,3,2,2,2,2,3,3)</f>
        <v>2.3571428571428572</v>
      </c>
      <c r="AE25" s="32">
        <v>3</v>
      </c>
      <c r="AF25" s="32">
        <v>1</v>
      </c>
      <c r="AG25" s="32">
        <f>MEDIAN(2,2,2,2,3,3,2,3,2,2,2,2,3,3)</f>
        <v>2</v>
      </c>
      <c r="AH25" s="18">
        <f t="shared" si="5"/>
        <v>6</v>
      </c>
      <c r="AJ25" s="165">
        <v>22</v>
      </c>
      <c r="AK25" s="32">
        <v>0</v>
      </c>
      <c r="AL25" s="32">
        <f>AVERAGE(3,2,3,2,3,3,2,3,3)</f>
        <v>2.6666666666666665</v>
      </c>
      <c r="AM25" s="32">
        <v>1</v>
      </c>
      <c r="AN25" s="32">
        <v>1</v>
      </c>
      <c r="AO25" s="33">
        <f t="shared" si="6"/>
        <v>4.6666666666666661</v>
      </c>
      <c r="AP25" s="32">
        <f>MEDIAN(3,2,3,2,3,3,2,3,3)</f>
        <v>3</v>
      </c>
      <c r="AQ25" s="75">
        <f t="shared" si="7"/>
        <v>5</v>
      </c>
      <c r="AS25" s="165">
        <v>22</v>
      </c>
      <c r="AT25" s="32">
        <v>2</v>
      </c>
      <c r="AU25" s="32">
        <f>AVERAGE(2,3,2,2,2,3)</f>
        <v>2.3333333333333335</v>
      </c>
      <c r="AV25" s="32">
        <v>3</v>
      </c>
      <c r="AW25" s="32">
        <v>1</v>
      </c>
      <c r="AX25" s="33">
        <f t="shared" si="8"/>
        <v>8.3333333333333339</v>
      </c>
      <c r="AY25" s="32">
        <f>MEDIAN(2,3,2,2,2,3)</f>
        <v>2</v>
      </c>
      <c r="AZ25" s="75">
        <f t="shared" si="9"/>
        <v>8</v>
      </c>
      <c r="BB25" s="165">
        <v>22</v>
      </c>
      <c r="BC25" s="32">
        <v>2</v>
      </c>
      <c r="BD25" s="32">
        <f>MEDIAN(2,2,2,2,2,2,2,2,2,3,2,2,2,2,3,2,3)</f>
        <v>2</v>
      </c>
      <c r="BE25" s="32">
        <v>1</v>
      </c>
      <c r="BF25" s="32">
        <v>1</v>
      </c>
      <c r="BG25" s="33">
        <f t="shared" si="10"/>
        <v>6</v>
      </c>
      <c r="BH25" s="32">
        <f>MEDIAN(2,2,2,2,2,2,2,2,2,3,2,2,2,2,3,2,3)</f>
        <v>2</v>
      </c>
      <c r="BI25" s="75">
        <f t="shared" si="11"/>
        <v>6</v>
      </c>
      <c r="BK25" s="165">
        <v>22</v>
      </c>
      <c r="BL25" s="32">
        <v>1</v>
      </c>
      <c r="BM25" s="32">
        <f>MEDIAN(2,3,3,2,2,3,3,2,2,3,3,2,3,3)</f>
        <v>3</v>
      </c>
      <c r="BN25" s="32">
        <v>1</v>
      </c>
      <c r="BO25" s="32">
        <v>0</v>
      </c>
      <c r="BP25" s="33">
        <f t="shared" si="12"/>
        <v>5</v>
      </c>
      <c r="BQ25" s="32">
        <f>MEDIAN(2,3,3,2,2,3,3,2,2,3,3,2,3,3)</f>
        <v>3</v>
      </c>
      <c r="BR25" s="75">
        <f t="shared" si="13"/>
        <v>5</v>
      </c>
      <c r="BT25" s="165">
        <v>22</v>
      </c>
      <c r="BU25" s="32">
        <v>1</v>
      </c>
      <c r="BV25" s="32">
        <f>MEDIAN(2,2,2,2,2,2,3,3)</f>
        <v>2</v>
      </c>
      <c r="BW25" s="32">
        <v>1</v>
      </c>
      <c r="BX25" s="32">
        <v>2</v>
      </c>
      <c r="BY25" s="33">
        <f t="shared" si="14"/>
        <v>6</v>
      </c>
      <c r="CB25" s="165">
        <v>22</v>
      </c>
      <c r="CC25" s="32">
        <v>1</v>
      </c>
      <c r="CD25" s="32">
        <f>MEDIAN(2,2,3,2,2,3,2)</f>
        <v>2</v>
      </c>
      <c r="CE25" s="32">
        <v>0</v>
      </c>
      <c r="CF25" s="32">
        <v>1</v>
      </c>
      <c r="CG25" s="33">
        <f t="shared" si="15"/>
        <v>4</v>
      </c>
      <c r="CJ25" s="165">
        <v>22</v>
      </c>
      <c r="CK25" s="32">
        <v>0</v>
      </c>
      <c r="CL25" s="32">
        <f>MEDIAN(3,3,2,2,2,2,2,2,2,3,3,3,3,2)</f>
        <v>2</v>
      </c>
      <c r="CM25" s="32">
        <v>3</v>
      </c>
      <c r="CN25" s="32">
        <v>2</v>
      </c>
      <c r="CO25" s="33">
        <f t="shared" si="16"/>
        <v>7</v>
      </c>
      <c r="CP25" s="32">
        <f>MEDIAN(3,3,2,2,2,2,2,2,2,3,3,3,3,2)</f>
        <v>2</v>
      </c>
      <c r="CQ25" s="75">
        <f t="shared" si="17"/>
        <v>7</v>
      </c>
      <c r="CS25" s="165">
        <v>22</v>
      </c>
      <c r="CT25" s="32">
        <v>1</v>
      </c>
      <c r="CU25" s="32">
        <f>MEDIAN(2,2,3,2,3,2,3,2,2,2,3)</f>
        <v>2</v>
      </c>
      <c r="CV25" s="32">
        <v>2</v>
      </c>
      <c r="CW25" s="32">
        <v>2</v>
      </c>
      <c r="CX25" s="33">
        <f t="shared" si="18"/>
        <v>7</v>
      </c>
      <c r="CY25" s="32">
        <f>MEDIAN(2,2,3,2,3,2,3,2,2,2,3)</f>
        <v>2</v>
      </c>
      <c r="CZ25" s="75">
        <f t="shared" si="19"/>
        <v>7</v>
      </c>
      <c r="DB25" s="165">
        <v>22</v>
      </c>
      <c r="DC25" s="32">
        <v>0</v>
      </c>
      <c r="DD25" s="32">
        <f>AVERAGE(2,3,2)</f>
        <v>2.3333333333333335</v>
      </c>
      <c r="DE25" s="32">
        <v>2</v>
      </c>
      <c r="DF25" s="32">
        <v>0</v>
      </c>
      <c r="DG25" s="33">
        <f t="shared" si="20"/>
        <v>4.3333333333333339</v>
      </c>
      <c r="DH25" s="32">
        <f>MEDIAN(2,3,2)</f>
        <v>2</v>
      </c>
      <c r="DI25" s="75">
        <f t="shared" si="21"/>
        <v>4</v>
      </c>
      <c r="DK25" s="165">
        <v>22</v>
      </c>
      <c r="DL25" s="32">
        <v>1</v>
      </c>
      <c r="DM25" s="32">
        <f>AVERAGE(2,2,3,2)</f>
        <v>2.25</v>
      </c>
      <c r="DN25" s="32">
        <v>3</v>
      </c>
      <c r="DO25" s="32">
        <v>3</v>
      </c>
      <c r="DP25" s="33">
        <f t="shared" si="22"/>
        <v>9.25</v>
      </c>
      <c r="DQ25" s="32">
        <f>MEDIAN(2,2,3,2)</f>
        <v>2</v>
      </c>
      <c r="DR25" s="75">
        <f t="shared" si="23"/>
        <v>9</v>
      </c>
      <c r="DT25" s="165">
        <v>22</v>
      </c>
      <c r="DU25" s="32">
        <v>1</v>
      </c>
      <c r="DV25" s="32">
        <f>AVERAGE(2,3,3,2)</f>
        <v>2.5</v>
      </c>
      <c r="DW25" s="32">
        <v>3</v>
      </c>
      <c r="DX25" s="32">
        <v>2</v>
      </c>
      <c r="DY25" s="33">
        <f t="shared" si="24"/>
        <v>8.5</v>
      </c>
      <c r="DZ25" s="32">
        <f>MEDIAN(2,3,3,2)</f>
        <v>2.5</v>
      </c>
      <c r="EA25" s="75">
        <f t="shared" si="25"/>
        <v>8.5</v>
      </c>
      <c r="EC25" s="165">
        <v>22</v>
      </c>
      <c r="ED25" s="32">
        <v>2</v>
      </c>
      <c r="EE25" s="32">
        <f>AVERAGE(3,3,3,3,3,3,3,3,3,3,3,3,3)</f>
        <v>3</v>
      </c>
      <c r="EF25" s="32">
        <v>1</v>
      </c>
      <c r="EG25" s="32">
        <v>1</v>
      </c>
      <c r="EH25" s="33">
        <f t="shared" si="26"/>
        <v>7</v>
      </c>
      <c r="EI25" s="32">
        <f>MEDIAN(3,3,3,3,3,3,3,3,3,3,3,3,3)</f>
        <v>3</v>
      </c>
      <c r="EJ25" s="75">
        <f t="shared" si="27"/>
        <v>7</v>
      </c>
      <c r="EL25" s="165">
        <v>22</v>
      </c>
      <c r="EM25" s="32">
        <v>0</v>
      </c>
      <c r="EN25" s="32">
        <f>AVERAGE(2,2,3,2,2,2,2,2,2,2,2,2)</f>
        <v>2.0833333333333335</v>
      </c>
      <c r="EO25" s="32">
        <v>1</v>
      </c>
      <c r="EP25" s="32">
        <v>0</v>
      </c>
      <c r="EQ25" s="33">
        <f t="shared" si="28"/>
        <v>3.0833333333333335</v>
      </c>
      <c r="ER25" s="197">
        <f>MEDIAN(2,2,3,2,2,2,2,2,2,2,2,2)</f>
        <v>2</v>
      </c>
      <c r="ES25">
        <f t="shared" si="29"/>
        <v>3</v>
      </c>
      <c r="EU25" s="165">
        <v>22</v>
      </c>
      <c r="EV25" s="32">
        <v>0</v>
      </c>
      <c r="EW25" s="32">
        <f>AVERAGE(2,3,3,2,2,2,2,3)</f>
        <v>2.375</v>
      </c>
      <c r="EX25" s="32">
        <v>1</v>
      </c>
      <c r="EY25" s="32">
        <v>1</v>
      </c>
      <c r="EZ25" s="33">
        <f t="shared" si="30"/>
        <v>4.375</v>
      </c>
      <c r="FA25" s="197">
        <f>MEDIAN(2,3,3,2,2,2,2,3)</f>
        <v>2</v>
      </c>
      <c r="FB25">
        <f t="shared" si="31"/>
        <v>4</v>
      </c>
      <c r="FD25" s="165">
        <v>22</v>
      </c>
      <c r="FE25" s="32">
        <v>1</v>
      </c>
      <c r="FF25" s="32">
        <f>AVERAGE(3,3,3,3)</f>
        <v>3</v>
      </c>
      <c r="FG25" s="32">
        <v>0</v>
      </c>
      <c r="FH25" s="32">
        <v>0</v>
      </c>
      <c r="FI25" s="33">
        <f t="shared" si="32"/>
        <v>4</v>
      </c>
      <c r="FJ25" s="197">
        <f>MEDIAN(3,3,3,3)</f>
        <v>3</v>
      </c>
      <c r="FK25">
        <f t="shared" si="33"/>
        <v>4</v>
      </c>
      <c r="FM25" s="165">
        <v>22</v>
      </c>
      <c r="FN25" s="32">
        <v>1</v>
      </c>
      <c r="FO25" s="32">
        <f>AVERAGE(3,3,2,2)</f>
        <v>2.5</v>
      </c>
      <c r="FP25" s="32">
        <v>1</v>
      </c>
      <c r="FQ25" s="32">
        <v>0</v>
      </c>
      <c r="FR25" s="33">
        <f t="shared" si="34"/>
        <v>4.5</v>
      </c>
      <c r="FS25" s="197">
        <f>MEDIAN(3,3,2,2)</f>
        <v>2.5</v>
      </c>
      <c r="FT25">
        <f t="shared" si="35"/>
        <v>4.5</v>
      </c>
      <c r="FV25" s="165">
        <v>22</v>
      </c>
      <c r="FW25" s="32">
        <v>1</v>
      </c>
      <c r="FX25" s="32">
        <f>MEDIAN(3,3,3,3,2,3,3,3,3,3,3,3,3,2)</f>
        <v>3</v>
      </c>
      <c r="FY25" s="32">
        <v>2</v>
      </c>
      <c r="FZ25" s="32">
        <v>2</v>
      </c>
      <c r="GA25" s="33">
        <f t="shared" si="36"/>
        <v>8</v>
      </c>
      <c r="GB25" s="32">
        <f>MEDIAN(3,3,3,3,2,3,3,3,3,3,3,3,3,2)</f>
        <v>3</v>
      </c>
      <c r="GC25">
        <f t="shared" si="37"/>
        <v>8</v>
      </c>
      <c r="GE25" s="165">
        <v>22</v>
      </c>
      <c r="GF25" s="32">
        <v>1</v>
      </c>
      <c r="GG25" s="32">
        <f>MEDIAN(3,3,2,3,3,3,3,2,3)</f>
        <v>3</v>
      </c>
      <c r="GH25" s="32">
        <v>0</v>
      </c>
      <c r="GI25" s="32">
        <v>0</v>
      </c>
      <c r="GJ25" s="18">
        <f t="shared" si="38"/>
        <v>4</v>
      </c>
      <c r="GK25" s="32">
        <f>MEDIAN(3,3,2,3,3,3,3,2,3)</f>
        <v>3</v>
      </c>
      <c r="GL25">
        <f t="shared" si="39"/>
        <v>4</v>
      </c>
      <c r="GN25" s="165">
        <v>22</v>
      </c>
      <c r="GO25" s="32">
        <v>1</v>
      </c>
      <c r="GP25" s="32">
        <f>AVERAGE(2,1,3,3)</f>
        <v>2.25</v>
      </c>
      <c r="GQ25" s="32">
        <v>3</v>
      </c>
      <c r="GR25" s="32">
        <v>0</v>
      </c>
      <c r="GS25" s="33">
        <f t="shared" si="40"/>
        <v>6.25</v>
      </c>
      <c r="GT25" s="196">
        <f>MEDIAN(2,1,3,3)</f>
        <v>2.5</v>
      </c>
      <c r="GU25" s="32">
        <f t="shared" si="41"/>
        <v>6.5</v>
      </c>
      <c r="GW25" s="165">
        <v>22</v>
      </c>
      <c r="GX25" s="32">
        <v>0</v>
      </c>
      <c r="GY25" s="32">
        <f>AVERAGE(3,3,2,2,3)</f>
        <v>2.6</v>
      </c>
      <c r="GZ25" s="32">
        <v>1</v>
      </c>
      <c r="HA25" s="32">
        <v>1</v>
      </c>
      <c r="HB25" s="33">
        <f t="shared" si="42"/>
        <v>4.5999999999999996</v>
      </c>
      <c r="HC25" s="196">
        <f>MEDIAN(3,3,2,2,3)</f>
        <v>3</v>
      </c>
      <c r="HD25">
        <f t="shared" si="43"/>
        <v>5</v>
      </c>
      <c r="HF25" s="165">
        <v>22</v>
      </c>
      <c r="HG25" s="32">
        <v>1</v>
      </c>
      <c r="HH25" s="32">
        <f>AVERAGE(3,3,3,3,3,2)</f>
        <v>2.8333333333333335</v>
      </c>
      <c r="HI25" s="32">
        <v>3</v>
      </c>
      <c r="HJ25" s="32">
        <v>1</v>
      </c>
      <c r="HK25" s="33">
        <f t="shared" si="44"/>
        <v>7.8333333333333339</v>
      </c>
      <c r="HL25" s="32">
        <f>MEDIAN(3,3,3,3,3,2)</f>
        <v>3</v>
      </c>
      <c r="HM25">
        <f t="shared" si="45"/>
        <v>8</v>
      </c>
      <c r="HO25" s="165">
        <v>22</v>
      </c>
      <c r="HP25" s="32">
        <v>1</v>
      </c>
      <c r="HQ25" s="32">
        <f>AVERAGE(2,3,2,2,3)</f>
        <v>2.4</v>
      </c>
      <c r="HR25" s="32">
        <v>3</v>
      </c>
      <c r="HS25" s="32">
        <v>1</v>
      </c>
      <c r="HT25" s="33">
        <f t="shared" si="46"/>
        <v>7.4</v>
      </c>
      <c r="HU25" s="32">
        <f>MEDIAN(2,3,2,2,3)</f>
        <v>2</v>
      </c>
      <c r="HV25">
        <f t="shared" si="47"/>
        <v>7</v>
      </c>
      <c r="HX25" s="165">
        <v>22</v>
      </c>
      <c r="HY25" s="32">
        <v>0</v>
      </c>
      <c r="HZ25" s="32">
        <f>MEDIAN(2,2,3,2,2,2,2,2,2,1,2,1,2,2,2,2,2,2,1,2)</f>
        <v>2</v>
      </c>
      <c r="IA25" s="32">
        <v>2</v>
      </c>
      <c r="IB25" s="32">
        <v>1</v>
      </c>
      <c r="IC25" s="33">
        <f>SUM(HY25:IB25)</f>
        <v>5</v>
      </c>
      <c r="ID25" s="32">
        <f>MEDIAN(2,2,3,2,2,2,2,2,2,1,2,1,2,2,2,2,2,2,1,2)</f>
        <v>2</v>
      </c>
      <c r="IE25">
        <f>SUM(HY25,IA25,IB25,ID25)</f>
        <v>5</v>
      </c>
      <c r="IG25" s="165">
        <v>22</v>
      </c>
      <c r="IH25" s="32">
        <v>1</v>
      </c>
      <c r="II25" s="32">
        <f>MEDIAN(3,3,3,3,3,3,3,3,3)</f>
        <v>3</v>
      </c>
      <c r="IJ25" s="32">
        <v>2</v>
      </c>
      <c r="IK25" s="32">
        <v>1</v>
      </c>
      <c r="IL25" s="33">
        <f t="shared" si="50"/>
        <v>7</v>
      </c>
      <c r="IM25" s="32">
        <f>MEDIAN(3,3,3,3,3,3,3,3,3)</f>
        <v>3</v>
      </c>
      <c r="IN25">
        <f t="shared" si="51"/>
        <v>7</v>
      </c>
      <c r="IP25" s="165">
        <v>22</v>
      </c>
      <c r="IQ25" s="32">
        <v>0</v>
      </c>
      <c r="IR25" s="32">
        <f>AVERAGE(3,3,2,3,3,3,2,2,2,3,3,3)</f>
        <v>2.6666666666666665</v>
      </c>
      <c r="IS25" s="32">
        <v>1</v>
      </c>
      <c r="IT25" s="32">
        <v>0</v>
      </c>
      <c r="IU25" s="33">
        <f t="shared" si="52"/>
        <v>3.6666666666666665</v>
      </c>
      <c r="IV25" s="32">
        <f>MEDIAN(3,3,2,3,3,3,2,2,2,3,3,3)</f>
        <v>3</v>
      </c>
      <c r="IW25">
        <f t="shared" si="53"/>
        <v>4</v>
      </c>
      <c r="IY25" s="165">
        <v>22</v>
      </c>
      <c r="IZ25" s="32">
        <v>1</v>
      </c>
      <c r="JA25" s="32">
        <f>AVERAGE(3,3,3,2,3,3,2)</f>
        <v>2.7142857142857144</v>
      </c>
      <c r="JB25" s="32">
        <v>3</v>
      </c>
      <c r="JC25" s="32">
        <v>1</v>
      </c>
      <c r="JD25" s="33">
        <f t="shared" si="54"/>
        <v>7.7142857142857144</v>
      </c>
      <c r="JE25" s="32">
        <f>MEDIAN(3,3,3,2,3,3,2)</f>
        <v>3</v>
      </c>
      <c r="JF25">
        <f t="shared" si="55"/>
        <v>8</v>
      </c>
      <c r="JH25" s="165">
        <v>22</v>
      </c>
      <c r="JI25" s="32">
        <v>0</v>
      </c>
      <c r="JJ25" s="32">
        <f>MEDIAN(3,3,2,3,3)</f>
        <v>3</v>
      </c>
      <c r="JK25" s="32">
        <v>2</v>
      </c>
      <c r="JL25" s="32">
        <v>1</v>
      </c>
      <c r="JM25" s="33">
        <f t="shared" si="56"/>
        <v>6</v>
      </c>
      <c r="JN25" s="32">
        <f>MEDIAN(3,3,2,3,3)</f>
        <v>3</v>
      </c>
      <c r="JO25">
        <f t="shared" si="57"/>
        <v>6</v>
      </c>
      <c r="JQ25" s="165">
        <v>22</v>
      </c>
      <c r="JR25" s="32">
        <v>0</v>
      </c>
      <c r="JS25" s="32">
        <f>MEDIAN(2,3,2,2,3)</f>
        <v>2</v>
      </c>
      <c r="JT25" s="32">
        <v>0</v>
      </c>
      <c r="JU25" s="32">
        <v>0</v>
      </c>
      <c r="JV25" s="33">
        <f t="shared" si="58"/>
        <v>2</v>
      </c>
      <c r="JW25" s="32">
        <f>MEDIAN(2,3,2,2,3)</f>
        <v>2</v>
      </c>
      <c r="JX25">
        <f t="shared" si="59"/>
        <v>2</v>
      </c>
      <c r="JZ25" s="165">
        <v>22</v>
      </c>
      <c r="KA25" s="32">
        <v>0</v>
      </c>
      <c r="KB25" s="32">
        <f>AVERAGE(3,3,3,3,3,2,2,2,3,3,3,2,3,3)</f>
        <v>2.7142857142857144</v>
      </c>
      <c r="KC25" s="32">
        <v>3</v>
      </c>
      <c r="KD25" s="32">
        <v>1</v>
      </c>
      <c r="KE25" s="33">
        <f t="shared" si="60"/>
        <v>6.7142857142857144</v>
      </c>
      <c r="KF25" s="32">
        <f>MEDIAN(3,3,3,3,3,2,2,2,3,3,3,2,3,3)</f>
        <v>3</v>
      </c>
      <c r="KG25">
        <f t="shared" si="61"/>
        <v>7</v>
      </c>
      <c r="KI25" s="165">
        <v>22</v>
      </c>
      <c r="KJ25" s="32">
        <v>0</v>
      </c>
      <c r="KK25" s="32">
        <f>AVERAGE(2,3,3,3,2,3,3,3,3,2,2,3,3,2)</f>
        <v>2.6428571428571428</v>
      </c>
      <c r="KL25" s="32">
        <v>3</v>
      </c>
      <c r="KM25" s="32">
        <v>1</v>
      </c>
      <c r="KN25" s="33">
        <f t="shared" si="62"/>
        <v>6.6428571428571423</v>
      </c>
      <c r="KO25" s="32">
        <f>MEDIAN(2,3,3,3,2,3,3,3,3,2,2,3,3,2)</f>
        <v>3</v>
      </c>
      <c r="KP25">
        <f t="shared" si="63"/>
        <v>7</v>
      </c>
      <c r="KR25" s="165">
        <v>22</v>
      </c>
      <c r="KS25" s="32">
        <v>1</v>
      </c>
      <c r="KT25" s="32">
        <f>AVERAGE(3,2,3,3,2,3,2,2)</f>
        <v>2.5</v>
      </c>
      <c r="KU25" s="32">
        <v>3</v>
      </c>
      <c r="KV25" s="32">
        <v>2</v>
      </c>
      <c r="KW25" s="33">
        <f t="shared" si="64"/>
        <v>8.5</v>
      </c>
      <c r="KX25" s="32">
        <f>MEDIAN(3,2,3,3,2,3,2,2)</f>
        <v>2.5</v>
      </c>
      <c r="KY25">
        <f t="shared" si="65"/>
        <v>8.5</v>
      </c>
      <c r="LA25" s="165">
        <v>22</v>
      </c>
      <c r="LB25" s="32">
        <v>1</v>
      </c>
      <c r="LC25" s="32">
        <f>AVERAGE(3,2,3,3,3,3,2)</f>
        <v>2.7142857142857144</v>
      </c>
      <c r="LD25" s="32">
        <v>3</v>
      </c>
      <c r="LE25" s="32">
        <v>2</v>
      </c>
      <c r="LF25" s="33">
        <f t="shared" si="66"/>
        <v>8.7142857142857153</v>
      </c>
      <c r="LG25" s="32">
        <f>MEDIAN(3,2,3,3,3,3,2)</f>
        <v>3</v>
      </c>
      <c r="LH25">
        <f t="shared" si="67"/>
        <v>9</v>
      </c>
      <c r="LK25" s="165">
        <v>22</v>
      </c>
      <c r="LL25" s="32">
        <v>0</v>
      </c>
      <c r="LM25" s="32">
        <f>AVERAGE(3,2,3,3,3,3)</f>
        <v>2.8333333333333335</v>
      </c>
      <c r="LN25" s="32">
        <v>2</v>
      </c>
      <c r="LO25" s="32">
        <v>2</v>
      </c>
      <c r="LP25" s="33">
        <f t="shared" si="68"/>
        <v>6.8333333333333339</v>
      </c>
      <c r="LQ25" s="32">
        <f>MEDIAN(3,2,3,3,3,3)</f>
        <v>3</v>
      </c>
      <c r="LR25">
        <f t="shared" si="69"/>
        <v>7</v>
      </c>
      <c r="LT25" s="165">
        <v>22</v>
      </c>
      <c r="LU25" s="32">
        <v>0</v>
      </c>
      <c r="LV25" s="32">
        <f>AVERAGE(3,3,3,2,2,3,3,3)</f>
        <v>2.75</v>
      </c>
      <c r="LW25" s="32">
        <v>3</v>
      </c>
      <c r="LX25" s="32">
        <v>2</v>
      </c>
      <c r="LY25" s="33">
        <f t="shared" si="70"/>
        <v>7.75</v>
      </c>
      <c r="LZ25" s="32">
        <f>MEDIAN(3,3,3,2,2,3,3,3)</f>
        <v>3</v>
      </c>
      <c r="MA25">
        <f t="shared" si="71"/>
        <v>8</v>
      </c>
      <c r="MC25" s="165">
        <v>22</v>
      </c>
      <c r="MD25" s="32">
        <v>0</v>
      </c>
      <c r="ME25" s="32">
        <f>AVERAGE(3,3,3,3,3,3,3,3)</f>
        <v>3</v>
      </c>
      <c r="MF25" s="32">
        <v>3</v>
      </c>
      <c r="MG25" s="32">
        <v>1</v>
      </c>
      <c r="MH25" s="33">
        <f t="shared" si="72"/>
        <v>7</v>
      </c>
      <c r="MI25" s="32">
        <f>MEDIAN(3,3,3,3,3,3,3,3)</f>
        <v>3</v>
      </c>
      <c r="MJ25">
        <f t="shared" si="73"/>
        <v>7</v>
      </c>
      <c r="ML25" s="165">
        <v>22</v>
      </c>
      <c r="MM25" s="32">
        <v>1</v>
      </c>
      <c r="MN25" s="32">
        <f>AVERAGE(3,3,3,3,3,3,3,3,3,3,3,3,3,3,3,3,2,3,2,2,3)</f>
        <v>2.8571428571428572</v>
      </c>
      <c r="MO25" s="32">
        <v>3</v>
      </c>
      <c r="MP25" s="32">
        <v>1</v>
      </c>
      <c r="MQ25" s="33">
        <f t="shared" si="74"/>
        <v>7.8571428571428577</v>
      </c>
      <c r="MR25" s="32">
        <f>MEDIAN(3,3,3,3,3,3,3,3,3,3,3,3,3,3,3,3,2,3,2,2,3)</f>
        <v>3</v>
      </c>
      <c r="MS25">
        <f t="shared" si="75"/>
        <v>8</v>
      </c>
      <c r="MU25" s="165">
        <v>22</v>
      </c>
      <c r="MV25" s="32">
        <v>1</v>
      </c>
      <c r="MW25" s="32">
        <f>MEDIAN(3,3,3,2,3,2,3,2,3,3,3,2,3,2,3,2,3,3,3,2,3)</f>
        <v>3</v>
      </c>
      <c r="MX25" s="32">
        <v>1</v>
      </c>
      <c r="MY25" s="32">
        <v>1</v>
      </c>
      <c r="MZ25" s="33">
        <f t="shared" si="76"/>
        <v>6</v>
      </c>
      <c r="NA25" s="32">
        <f>MEDIAN(3,3,3,2,3,2,3,2,3,3,3,2,3,2,3,2,3,3,3,2,3)</f>
        <v>3</v>
      </c>
      <c r="NB25">
        <f t="shared" si="77"/>
        <v>6</v>
      </c>
      <c r="ND25" s="165">
        <v>22</v>
      </c>
      <c r="NE25" s="32">
        <v>1</v>
      </c>
      <c r="NF25" s="32">
        <f>MEDIAN(2,2,2,2,1,2,2,1,2,2,2,3,2,3)</f>
        <v>2</v>
      </c>
      <c r="NG25" s="32">
        <v>2</v>
      </c>
      <c r="NH25" s="32">
        <v>1</v>
      </c>
      <c r="NI25" s="33">
        <f t="shared" si="78"/>
        <v>6</v>
      </c>
      <c r="NJ25" s="32">
        <f>MEDIAN(2,2,2,2,1,2,2,1,2,2,2,3,2,3)</f>
        <v>2</v>
      </c>
      <c r="NK25">
        <f t="shared" si="79"/>
        <v>6</v>
      </c>
      <c r="NM25" s="165">
        <v>22</v>
      </c>
      <c r="NN25" s="32">
        <v>1</v>
      </c>
      <c r="NO25" s="32">
        <f>AVERAGE(2,3,3,3,3,2,3)</f>
        <v>2.7142857142857144</v>
      </c>
      <c r="NP25" s="32">
        <v>2</v>
      </c>
      <c r="NQ25" s="32">
        <v>2</v>
      </c>
      <c r="NR25" s="33">
        <f t="shared" si="80"/>
        <v>7.7142857142857144</v>
      </c>
      <c r="NS25" s="32">
        <f>MEDIAN(2,3,3,3,3,2,3)</f>
        <v>3</v>
      </c>
      <c r="NT25">
        <f t="shared" si="81"/>
        <v>8</v>
      </c>
      <c r="NV25" s="165">
        <v>22</v>
      </c>
      <c r="NW25" s="32">
        <v>1</v>
      </c>
      <c r="NX25" s="32">
        <f>AVERAGE(3,3,3,3,2,2,3,3,3,3,3,3,3,3,2,3,3,3,3,3,3,3,3)</f>
        <v>2.8695652173913042</v>
      </c>
      <c r="NY25" s="32">
        <v>2</v>
      </c>
      <c r="NZ25" s="32">
        <v>2</v>
      </c>
      <c r="OA25" s="33">
        <f t="shared" si="82"/>
        <v>7.8695652173913047</v>
      </c>
      <c r="OB25" s="32">
        <f>MEDIAN(3,3,3,3,2,2,3,3,3,3,3,3,3,3,2,3,3,3,3,3,3,3,3)</f>
        <v>3</v>
      </c>
      <c r="OC25">
        <f t="shared" si="83"/>
        <v>8</v>
      </c>
      <c r="OE25" s="165">
        <v>22</v>
      </c>
      <c r="OF25" s="32">
        <v>2</v>
      </c>
      <c r="OG25" s="32">
        <f>MEDIAN(3,3,3,3,3,3,3,3,3,3,3,3)</f>
        <v>3</v>
      </c>
      <c r="OH25" s="32">
        <v>3</v>
      </c>
      <c r="OI25" s="32">
        <v>2</v>
      </c>
      <c r="OJ25" s="33">
        <f t="shared" si="84"/>
        <v>10</v>
      </c>
      <c r="OK25" s="32">
        <f>MEDIAN(3,3,3,3,3,3,3,3,3,3,3,3)</f>
        <v>3</v>
      </c>
      <c r="OL25">
        <f t="shared" si="85"/>
        <v>10</v>
      </c>
      <c r="ON25" s="165">
        <v>22</v>
      </c>
      <c r="OO25" s="32">
        <v>1</v>
      </c>
      <c r="OP25" s="32">
        <f>MEDIAN(3,3,3,3,3,3,2)</f>
        <v>3</v>
      </c>
      <c r="OQ25" s="32">
        <v>1</v>
      </c>
      <c r="OR25" s="32">
        <v>1</v>
      </c>
      <c r="OS25" s="33">
        <f t="shared" si="86"/>
        <v>6</v>
      </c>
      <c r="OT25" s="32">
        <f>MEDIAN(3,3,3,3,3,3,2)</f>
        <v>3</v>
      </c>
      <c r="OU25">
        <f t="shared" si="87"/>
        <v>6</v>
      </c>
      <c r="OW25" s="165">
        <v>22</v>
      </c>
      <c r="OX25" s="32">
        <v>1</v>
      </c>
      <c r="OY25" s="32">
        <f>AVERAGE(3,2,3,3,3)</f>
        <v>2.8</v>
      </c>
      <c r="OZ25" s="32">
        <v>2</v>
      </c>
      <c r="PA25" s="32">
        <v>1</v>
      </c>
      <c r="PB25" s="33">
        <f t="shared" si="88"/>
        <v>6.8</v>
      </c>
      <c r="PC25" s="32">
        <f>MEDIAN(3,2,3,3,3)</f>
        <v>3</v>
      </c>
      <c r="PD25">
        <f t="shared" si="89"/>
        <v>7</v>
      </c>
      <c r="PF25" s="165">
        <v>22</v>
      </c>
      <c r="PG25" s="32">
        <v>1</v>
      </c>
      <c r="PH25" s="32">
        <f>AVERAGE(2,2,2,1)</f>
        <v>1.75</v>
      </c>
      <c r="PI25" s="32">
        <v>1</v>
      </c>
      <c r="PJ25" s="32">
        <v>1</v>
      </c>
      <c r="PK25" s="33">
        <f t="shared" si="90"/>
        <v>4.75</v>
      </c>
      <c r="PL25" s="32">
        <f>MEDIAN(2,2,2,1)</f>
        <v>2</v>
      </c>
      <c r="PM25">
        <f t="shared" si="91"/>
        <v>5</v>
      </c>
      <c r="PO25" s="165">
        <v>22</v>
      </c>
      <c r="PP25" s="32">
        <v>0</v>
      </c>
      <c r="PQ25" s="32">
        <f>MEDIAN(3,2,2,2,2,2,1,2)</f>
        <v>2</v>
      </c>
      <c r="PR25" s="32">
        <v>3</v>
      </c>
      <c r="PS25" s="32">
        <v>1</v>
      </c>
      <c r="PT25" s="33">
        <f t="shared" si="92"/>
        <v>6</v>
      </c>
      <c r="PV25" s="165">
        <v>22</v>
      </c>
      <c r="PW25" s="32">
        <v>1</v>
      </c>
      <c r="PX25" s="32">
        <f>MEDIAN(3,3,3,2,2,2,2,3,3,2,3,2,3,2,3)</f>
        <v>3</v>
      </c>
      <c r="PY25" s="32">
        <v>2</v>
      </c>
      <c r="PZ25" s="32">
        <v>1</v>
      </c>
      <c r="QA25" s="33">
        <f t="shared" si="93"/>
        <v>7</v>
      </c>
      <c r="QB25" s="32">
        <f>MEDIAN(3,3,3,2,2,2,2,3,3,2,3,2,3,2,3)</f>
        <v>3</v>
      </c>
      <c r="QC25">
        <f t="shared" si="94"/>
        <v>7</v>
      </c>
      <c r="QE25" s="165">
        <v>22</v>
      </c>
      <c r="QF25" s="32">
        <v>0</v>
      </c>
      <c r="QG25" s="32">
        <f>MEDIAN(3,3,3,3,2)</f>
        <v>3</v>
      </c>
      <c r="QH25" s="32">
        <v>0</v>
      </c>
      <c r="QI25" s="32">
        <v>0</v>
      </c>
      <c r="QJ25" s="33">
        <f t="shared" si="95"/>
        <v>3</v>
      </c>
      <c r="QK25" s="32">
        <f>MEDIAN(3,3,3,3,2)</f>
        <v>3</v>
      </c>
      <c r="QL25">
        <f t="shared" si="96"/>
        <v>3</v>
      </c>
      <c r="QN25" s="165">
        <v>22</v>
      </c>
      <c r="QO25" s="32">
        <v>0</v>
      </c>
      <c r="QP25" s="32">
        <f>MEDIAN(3,2,2,2,2,2,3,2,3,2,2,2,2,2,2,3)</f>
        <v>2</v>
      </c>
      <c r="QQ25" s="32">
        <v>2</v>
      </c>
      <c r="QR25" s="32">
        <v>1</v>
      </c>
      <c r="QS25" s="33">
        <f t="shared" si="97"/>
        <v>5</v>
      </c>
      <c r="QT25" s="32">
        <f>MEDIAN(3,2,2,2,2,2,3,2,3,2,2,2,2,2,2,3)</f>
        <v>2</v>
      </c>
      <c r="QU25">
        <f t="shared" si="98"/>
        <v>5</v>
      </c>
      <c r="QW25" s="165">
        <v>22</v>
      </c>
      <c r="QX25" s="32">
        <v>2</v>
      </c>
      <c r="QY25" s="32">
        <f>AVERAGE(3,3,2,3,3,3,3,2,2,2,3)</f>
        <v>2.6363636363636362</v>
      </c>
      <c r="QZ25" s="32">
        <v>3</v>
      </c>
      <c r="RA25" s="32">
        <v>1</v>
      </c>
      <c r="RB25" s="33">
        <f t="shared" si="99"/>
        <v>8.6363636363636367</v>
      </c>
      <c r="RC25" s="32">
        <f>MEDIAN(3,3,2,3,3,3,3,2,2,2,3)</f>
        <v>3</v>
      </c>
      <c r="RD25">
        <f t="shared" si="100"/>
        <v>9</v>
      </c>
      <c r="RF25" s="165">
        <v>22</v>
      </c>
      <c r="RG25" s="32">
        <v>1</v>
      </c>
      <c r="RH25" s="32">
        <f>AVERAGE(2,3,3,3,2,2,3,3,3)</f>
        <v>2.6666666666666665</v>
      </c>
      <c r="RI25" s="32">
        <v>2</v>
      </c>
      <c r="RJ25" s="32">
        <v>1</v>
      </c>
      <c r="RK25" s="33">
        <f t="shared" si="101"/>
        <v>6.6666666666666661</v>
      </c>
      <c r="RL25" s="32">
        <f>MEDIAN(2,3,3,3,2,2,3,3,3)</f>
        <v>3</v>
      </c>
      <c r="RM25">
        <f t="shared" si="102"/>
        <v>7</v>
      </c>
      <c r="RO25" s="165">
        <v>22</v>
      </c>
      <c r="RP25" s="32">
        <v>1</v>
      </c>
      <c r="RQ25" s="32">
        <f>AVERAGE(2,2,2,2)</f>
        <v>2</v>
      </c>
      <c r="RR25" s="32">
        <v>1</v>
      </c>
      <c r="RS25" s="32">
        <v>1</v>
      </c>
      <c r="RT25" s="33">
        <f t="shared" si="103"/>
        <v>5</v>
      </c>
      <c r="RU25" s="32">
        <f>MEDIAN(2,2,2,2)</f>
        <v>2</v>
      </c>
      <c r="RV25">
        <f t="shared" si="104"/>
        <v>5</v>
      </c>
      <c r="RX25" s="165">
        <v>22</v>
      </c>
      <c r="RY25" s="32">
        <v>0</v>
      </c>
      <c r="RZ25" s="32">
        <f>AVERAGE(3,3,2,3,3)</f>
        <v>2.8</v>
      </c>
      <c r="SA25" s="32">
        <v>3</v>
      </c>
      <c r="SB25" s="32">
        <v>2</v>
      </c>
      <c r="SC25" s="33">
        <f t="shared" si="105"/>
        <v>7.8</v>
      </c>
      <c r="SD25" s="32">
        <f>MEDIAN(3,3,2,3,3)</f>
        <v>3</v>
      </c>
      <c r="SE25">
        <f t="shared" si="106"/>
        <v>8</v>
      </c>
      <c r="SG25" s="165">
        <v>22</v>
      </c>
      <c r="SH25" s="32">
        <v>1</v>
      </c>
      <c r="SI25" s="32">
        <f>MEDIAN(3,3,3,3,2,2,3,3,2,3,3,2)</f>
        <v>3</v>
      </c>
      <c r="SJ25" s="32">
        <v>3</v>
      </c>
      <c r="SK25" s="32">
        <v>1</v>
      </c>
      <c r="SL25" s="33">
        <f t="shared" si="107"/>
        <v>8</v>
      </c>
      <c r="SM25" s="32">
        <f>MEDIAN(3,3,3,3,2,2,3,3,2,3,3,2)</f>
        <v>3</v>
      </c>
      <c r="SN25">
        <f t="shared" si="108"/>
        <v>8</v>
      </c>
      <c r="SP25" s="165">
        <v>22</v>
      </c>
      <c r="SQ25" s="32">
        <v>0</v>
      </c>
      <c r="SR25" s="32">
        <f>MEDIAN(2,3,3,3,2,3,2,3,3)</f>
        <v>3</v>
      </c>
      <c r="SS25" s="32">
        <v>0</v>
      </c>
      <c r="ST25" s="32">
        <v>1</v>
      </c>
      <c r="SU25" s="33">
        <f t="shared" si="109"/>
        <v>4</v>
      </c>
      <c r="SV25" s="32">
        <f>MEDIAN(2,3,3,3,2,3,2,3,3)</f>
        <v>3</v>
      </c>
      <c r="SW25">
        <f t="shared" si="110"/>
        <v>4</v>
      </c>
      <c r="SY25" s="165">
        <v>22</v>
      </c>
      <c r="SZ25" s="32">
        <v>0</v>
      </c>
      <c r="TA25" s="32">
        <f>AVERAGE(2,2,2,3)</f>
        <v>2.25</v>
      </c>
      <c r="TB25" s="32">
        <v>1</v>
      </c>
      <c r="TC25" s="32">
        <v>0</v>
      </c>
      <c r="TD25" s="33">
        <f t="shared" si="111"/>
        <v>3.25</v>
      </c>
      <c r="TE25" s="32">
        <f>MEDIAN(2,2,2,3)</f>
        <v>2</v>
      </c>
      <c r="TF25">
        <f t="shared" si="112"/>
        <v>3</v>
      </c>
      <c r="TH25" s="165">
        <v>22</v>
      </c>
      <c r="TI25" s="32">
        <v>1</v>
      </c>
      <c r="TJ25" s="32">
        <f>MEDIAN(3,3,2,3)</f>
        <v>3</v>
      </c>
      <c r="TK25" s="32">
        <v>3</v>
      </c>
      <c r="TL25" s="32">
        <v>2</v>
      </c>
      <c r="TM25" s="33">
        <f t="shared" si="113"/>
        <v>9</v>
      </c>
      <c r="TN25" s="32">
        <f>MEDIAN(3,3,2,3)</f>
        <v>3</v>
      </c>
      <c r="TO25">
        <f t="shared" si="114"/>
        <v>9</v>
      </c>
      <c r="TQ25" s="165">
        <v>22</v>
      </c>
      <c r="TR25" s="32">
        <v>1</v>
      </c>
      <c r="TS25" s="32">
        <f>MEDIAN(3,3,1,2,2,2)</f>
        <v>2</v>
      </c>
      <c r="TT25" s="32">
        <v>1</v>
      </c>
      <c r="TU25" s="32">
        <v>1</v>
      </c>
      <c r="TV25" s="33">
        <f t="shared" si="115"/>
        <v>5</v>
      </c>
      <c r="TX25" s="165">
        <v>22</v>
      </c>
      <c r="TY25" s="32">
        <v>3</v>
      </c>
      <c r="TZ25" s="32">
        <f>MEDIAN(2,2,3,3,3,2,3,3,3,3,3)</f>
        <v>3</v>
      </c>
      <c r="UA25" s="32">
        <v>2</v>
      </c>
      <c r="UB25" s="32">
        <v>0</v>
      </c>
      <c r="UC25" s="33">
        <f t="shared" si="116"/>
        <v>8</v>
      </c>
      <c r="UD25" s="32">
        <f>MEDIAN(2,2,3,3,3,2,3,3,3,3,3)</f>
        <v>3</v>
      </c>
      <c r="UE25">
        <f t="shared" si="117"/>
        <v>8</v>
      </c>
      <c r="UG25" s="165">
        <v>22</v>
      </c>
      <c r="UH25" s="32">
        <v>0</v>
      </c>
      <c r="UI25" s="32">
        <f>MEDIAN(1,2,2,3,2,1,1,3,2,2,2,2)</f>
        <v>2</v>
      </c>
      <c r="UJ25" s="32">
        <v>2</v>
      </c>
      <c r="UK25" s="32">
        <v>1</v>
      </c>
      <c r="UL25" s="33">
        <f t="shared" si="118"/>
        <v>5</v>
      </c>
      <c r="UN25" s="165">
        <v>22</v>
      </c>
      <c r="UO25" s="32">
        <v>2</v>
      </c>
      <c r="UP25" s="32">
        <f>AVERAGE(3,3,3,2,2,3,3,2,3,2,3,3,3,3,3,3,3)</f>
        <v>2.7647058823529411</v>
      </c>
      <c r="UQ25" s="32">
        <v>3</v>
      </c>
      <c r="UR25" s="32">
        <v>1</v>
      </c>
      <c r="US25" s="33">
        <f t="shared" si="119"/>
        <v>8.764705882352942</v>
      </c>
      <c r="UT25" s="32">
        <f>MEDIAN(3,3,3,2,2,3,3,2,3,2,3,3,3,3,3,3,3)</f>
        <v>3</v>
      </c>
      <c r="UU25">
        <f t="shared" si="120"/>
        <v>9</v>
      </c>
      <c r="UW25" s="165">
        <v>22</v>
      </c>
      <c r="UX25" s="32">
        <v>0</v>
      </c>
      <c r="UY25" s="32">
        <f>AVERAGE(1,3,2,2,2,2,2,2,2,2,1,1,2)</f>
        <v>1.8461538461538463</v>
      </c>
      <c r="UZ25" s="32">
        <v>1</v>
      </c>
      <c r="VA25" s="32">
        <v>1</v>
      </c>
      <c r="VB25" s="33">
        <f t="shared" si="121"/>
        <v>3.8461538461538463</v>
      </c>
      <c r="VC25" s="32">
        <f>MEDIAN(1,3,2,2,2,2,2,2,2,2,1,1,2)</f>
        <v>2</v>
      </c>
      <c r="VD25">
        <f t="shared" si="122"/>
        <v>4</v>
      </c>
      <c r="VF25" s="165">
        <v>22</v>
      </c>
      <c r="VG25" s="32">
        <v>1</v>
      </c>
      <c r="VH25" s="32">
        <f>AVERAGE(3,3,3,2,3,2,3)</f>
        <v>2.7142857142857144</v>
      </c>
      <c r="VI25" s="32">
        <v>3</v>
      </c>
      <c r="VJ25" s="32">
        <v>1</v>
      </c>
      <c r="VK25" s="33">
        <f t="shared" si="123"/>
        <v>7.7142857142857144</v>
      </c>
      <c r="VL25" s="32">
        <f>MEDIAN(3,3,3,2,3,2,3)</f>
        <v>3</v>
      </c>
      <c r="VM25">
        <f t="shared" si="124"/>
        <v>8</v>
      </c>
      <c r="VO25" s="165">
        <v>22</v>
      </c>
      <c r="VP25" s="32">
        <v>2</v>
      </c>
      <c r="VQ25" s="32">
        <f>AVERAGE(3,3,2,3)</f>
        <v>2.75</v>
      </c>
      <c r="VR25" s="32">
        <v>3</v>
      </c>
      <c r="VS25" s="32">
        <v>2</v>
      </c>
      <c r="VT25" s="33">
        <f t="shared" si="125"/>
        <v>9.75</v>
      </c>
      <c r="VU25" s="32">
        <f>MEDIAN(3,3,2,3)</f>
        <v>3</v>
      </c>
      <c r="VV25">
        <f t="shared" si="126"/>
        <v>10</v>
      </c>
    </row>
    <row r="26" spans="2:594" ht="15" thickBot="1" x14ac:dyDescent="0.4">
      <c r="B26" s="165">
        <v>23</v>
      </c>
      <c r="C26" s="32">
        <v>2</v>
      </c>
      <c r="D26" s="32">
        <f>AVERAGE(2,2,2,2,2,2,2,2)</f>
        <v>2</v>
      </c>
      <c r="E26" s="32">
        <v>1</v>
      </c>
      <c r="F26" s="32">
        <v>1</v>
      </c>
      <c r="G26" s="33">
        <f t="shared" si="0"/>
        <v>6</v>
      </c>
      <c r="H26" s="32">
        <f>MEDIAN(2,2,2,2,2,2,2,2)</f>
        <v>2</v>
      </c>
      <c r="I26" s="75">
        <f t="shared" si="1"/>
        <v>6</v>
      </c>
      <c r="K26" s="165">
        <v>23</v>
      </c>
      <c r="L26" s="32">
        <v>1</v>
      </c>
      <c r="M26" s="32">
        <f>AVERAGE(3,2,3,2,2,2,3,3,3,2,1,2)</f>
        <v>2.3333333333333335</v>
      </c>
      <c r="N26" s="32">
        <v>2</v>
      </c>
      <c r="O26" s="32">
        <v>2</v>
      </c>
      <c r="P26" s="33">
        <f t="shared" si="2"/>
        <v>7.3333333333333339</v>
      </c>
      <c r="Q26" s="32">
        <f>MEDIAN(3,2,3,2,2,2,3,3,3,2,1,2)</f>
        <v>2</v>
      </c>
      <c r="R26" s="75">
        <f t="shared" si="3"/>
        <v>7</v>
      </c>
      <c r="T26" s="165">
        <v>23</v>
      </c>
      <c r="U26" s="32">
        <v>0</v>
      </c>
      <c r="V26" s="32">
        <f>AVERAGE(2,3,3,2,2,2,2,2,2,3)</f>
        <v>2.2999999999999998</v>
      </c>
      <c r="W26" s="32">
        <v>1</v>
      </c>
      <c r="X26" s="32">
        <v>0</v>
      </c>
      <c r="Y26" s="32">
        <f>MEDIAN(2,3,3,2,2,2,2,2,2,3)</f>
        <v>2</v>
      </c>
      <c r="Z26" s="18">
        <f t="shared" si="4"/>
        <v>3</v>
      </c>
      <c r="AB26" s="165">
        <v>23</v>
      </c>
      <c r="AC26" s="32">
        <v>1</v>
      </c>
      <c r="AD26" s="32">
        <f>AVERAGE(2,3,2,2,1,2,2,2,2,3)</f>
        <v>2.1</v>
      </c>
      <c r="AE26" s="32">
        <v>3</v>
      </c>
      <c r="AF26" s="32">
        <v>2</v>
      </c>
      <c r="AG26" s="32">
        <f>MEDIAN(2,3,2,2,1,2,2,2,2,3)</f>
        <v>2</v>
      </c>
      <c r="AH26" s="18">
        <f t="shared" si="5"/>
        <v>8</v>
      </c>
      <c r="AJ26" s="165">
        <v>23</v>
      </c>
      <c r="AK26" s="32">
        <v>1</v>
      </c>
      <c r="AL26" s="32">
        <f>AVERAGE(3,2,2,3,2,3)</f>
        <v>2.5</v>
      </c>
      <c r="AM26" s="32">
        <v>0</v>
      </c>
      <c r="AN26" s="32">
        <v>0</v>
      </c>
      <c r="AO26" s="33">
        <f t="shared" si="6"/>
        <v>3.5</v>
      </c>
      <c r="AP26" s="32">
        <f>MEDIAN(3,2,2,3,2,3)</f>
        <v>2.5</v>
      </c>
      <c r="AQ26" s="75">
        <f t="shared" si="7"/>
        <v>3.5</v>
      </c>
      <c r="AS26" s="165">
        <v>23</v>
      </c>
      <c r="AT26" s="32">
        <v>1</v>
      </c>
      <c r="AU26" s="32">
        <f>AVERAGE(2,2)</f>
        <v>2</v>
      </c>
      <c r="AV26" s="32">
        <v>3</v>
      </c>
      <c r="AW26" s="32">
        <v>1</v>
      </c>
      <c r="AX26" s="33">
        <f t="shared" si="8"/>
        <v>7</v>
      </c>
      <c r="AY26" s="32">
        <f>MEDIAN(2,2)</f>
        <v>2</v>
      </c>
      <c r="AZ26" s="75">
        <f t="shared" si="9"/>
        <v>7</v>
      </c>
      <c r="BB26" s="165">
        <v>23</v>
      </c>
      <c r="BC26" s="32">
        <v>1</v>
      </c>
      <c r="BD26" s="32">
        <f>MEDIAN(2,3,2,3,3,2,3,3,2,3,3,1)</f>
        <v>3</v>
      </c>
      <c r="BE26" s="32">
        <v>0</v>
      </c>
      <c r="BF26" s="32">
        <v>1</v>
      </c>
      <c r="BG26" s="33">
        <f t="shared" si="10"/>
        <v>5</v>
      </c>
      <c r="BH26" s="32">
        <f>MEDIAN(2,3,2,3,3,2,3,3,2,3,3,1)</f>
        <v>3</v>
      </c>
      <c r="BI26" s="75">
        <f t="shared" si="11"/>
        <v>5</v>
      </c>
      <c r="BK26" s="165">
        <v>23</v>
      </c>
      <c r="BL26" s="32">
        <v>1</v>
      </c>
      <c r="BM26" s="32">
        <f>MEDIAN(2,3,3,2,3,3,3,3,2)</f>
        <v>3</v>
      </c>
      <c r="BN26" s="32">
        <v>2</v>
      </c>
      <c r="BO26" s="32">
        <v>1</v>
      </c>
      <c r="BP26" s="33">
        <f t="shared" si="12"/>
        <v>7</v>
      </c>
      <c r="BQ26" s="32">
        <f>MEDIAN(2,3,3,2,3,3,3,3,2)</f>
        <v>3</v>
      </c>
      <c r="BR26" s="75">
        <f t="shared" si="13"/>
        <v>7</v>
      </c>
      <c r="BT26" s="165">
        <v>23</v>
      </c>
      <c r="BU26" s="32">
        <v>0</v>
      </c>
      <c r="BV26" s="32">
        <f>MEDIAN(2,2,3)</f>
        <v>2</v>
      </c>
      <c r="BW26" s="32">
        <v>1</v>
      </c>
      <c r="BX26" s="32">
        <v>2</v>
      </c>
      <c r="BY26" s="33">
        <f t="shared" si="14"/>
        <v>5</v>
      </c>
      <c r="CB26" s="165">
        <v>23</v>
      </c>
      <c r="CC26" s="32">
        <v>1</v>
      </c>
      <c r="CD26" s="32">
        <f>MEDIAN(2,2)</f>
        <v>2</v>
      </c>
      <c r="CE26" s="32">
        <v>1</v>
      </c>
      <c r="CF26" s="32">
        <v>0</v>
      </c>
      <c r="CG26" s="33">
        <f t="shared" si="15"/>
        <v>4</v>
      </c>
      <c r="CJ26" s="165">
        <v>23</v>
      </c>
      <c r="CK26" s="32">
        <v>0</v>
      </c>
      <c r="CL26" s="32">
        <f>MEDIAN(3,2)</f>
        <v>2.5</v>
      </c>
      <c r="CM26" s="32">
        <v>3</v>
      </c>
      <c r="CN26" s="32">
        <v>3</v>
      </c>
      <c r="CO26" s="33">
        <f t="shared" si="16"/>
        <v>8.5</v>
      </c>
      <c r="CP26" s="32">
        <f>MEDIAN(3,2)</f>
        <v>2.5</v>
      </c>
      <c r="CQ26" s="75">
        <f t="shared" si="17"/>
        <v>8.5</v>
      </c>
      <c r="CS26" s="165">
        <v>23</v>
      </c>
      <c r="CT26" s="32">
        <v>1</v>
      </c>
      <c r="CU26" s="32">
        <f>MEDIAN(1,2,2,3,1,2,2,2,3,3)</f>
        <v>2</v>
      </c>
      <c r="CV26" s="32">
        <v>2</v>
      </c>
      <c r="CW26" s="32">
        <v>2</v>
      </c>
      <c r="CX26" s="33">
        <f t="shared" si="18"/>
        <v>7</v>
      </c>
      <c r="CY26" s="32">
        <f>MEDIAN(1,2,2,3,1,2,2,2,3,3)</f>
        <v>2</v>
      </c>
      <c r="CZ26" s="75">
        <f t="shared" si="19"/>
        <v>7</v>
      </c>
      <c r="DB26" s="165">
        <v>23</v>
      </c>
      <c r="DC26" s="32">
        <v>0</v>
      </c>
      <c r="DD26" s="32">
        <f>AVERAGE(3,2,2,3,2,2,3,3,3,3,2,3,3,2)</f>
        <v>2.5714285714285716</v>
      </c>
      <c r="DE26" s="32">
        <v>2</v>
      </c>
      <c r="DF26" s="32">
        <v>0</v>
      </c>
      <c r="DG26" s="33">
        <f t="shared" si="20"/>
        <v>4.5714285714285712</v>
      </c>
      <c r="DH26" s="32">
        <f>MEDIAN(3,2,2,3,2,2,3,3,3,3,2,3,3,2)</f>
        <v>3</v>
      </c>
      <c r="DI26" s="75">
        <f t="shared" si="21"/>
        <v>5</v>
      </c>
      <c r="DK26" s="165">
        <v>23</v>
      </c>
      <c r="DL26" s="32">
        <v>0</v>
      </c>
      <c r="DM26" s="32">
        <f>AVERAGE(3,3,3,3,3,2,2,2,2)</f>
        <v>2.5555555555555554</v>
      </c>
      <c r="DN26" s="32">
        <v>3</v>
      </c>
      <c r="DO26" s="32">
        <v>2</v>
      </c>
      <c r="DP26" s="33">
        <f t="shared" si="22"/>
        <v>7.5555555555555554</v>
      </c>
      <c r="DQ26" s="32">
        <f>MEDIAN(3,3,3,3,3,2,2,2,2)</f>
        <v>3</v>
      </c>
      <c r="DR26" s="75">
        <f t="shared" si="23"/>
        <v>8</v>
      </c>
      <c r="DT26" s="165">
        <v>23</v>
      </c>
      <c r="DU26" s="32">
        <v>1</v>
      </c>
      <c r="DV26" s="32">
        <f>AVERAGE(2,2,3,2,2,3,1,3,2,2,2,2,2,2,2,2,1,2,2)</f>
        <v>2.0526315789473686</v>
      </c>
      <c r="DW26" s="32">
        <v>2</v>
      </c>
      <c r="DX26" s="32">
        <v>1</v>
      </c>
      <c r="DY26" s="33">
        <f t="shared" si="24"/>
        <v>6.0526315789473681</v>
      </c>
      <c r="DZ26" s="32">
        <f>MEDIAN(2,2,3,2,2,3,1,3,2,2,2,2,2,2,2,2,1,2,2)</f>
        <v>2</v>
      </c>
      <c r="EA26" s="75">
        <f t="shared" si="25"/>
        <v>6</v>
      </c>
      <c r="EC26" s="165">
        <v>23</v>
      </c>
      <c r="ED26" s="32">
        <v>1</v>
      </c>
      <c r="EE26" s="32">
        <f>AVERAGE(2,3,2,3,2,2,3,3,3)</f>
        <v>2.5555555555555554</v>
      </c>
      <c r="EF26" s="32">
        <v>1</v>
      </c>
      <c r="EG26" s="32">
        <v>1</v>
      </c>
      <c r="EH26" s="33">
        <f t="shared" si="26"/>
        <v>5.5555555555555554</v>
      </c>
      <c r="EI26" s="32">
        <f>MEDIAN(2,3,2,3,2,2,3,3,3)</f>
        <v>3</v>
      </c>
      <c r="EJ26" s="75">
        <f t="shared" si="27"/>
        <v>6</v>
      </c>
      <c r="EL26" s="165">
        <v>23</v>
      </c>
      <c r="EM26" s="32">
        <v>0</v>
      </c>
      <c r="EN26" s="32">
        <f>AVERAGE(2,2,2,2,2,2,2,2,2,2)</f>
        <v>2</v>
      </c>
      <c r="EO26" s="32">
        <v>2</v>
      </c>
      <c r="EP26" s="32">
        <v>1</v>
      </c>
      <c r="EQ26" s="33">
        <f t="shared" si="28"/>
        <v>5</v>
      </c>
      <c r="ER26" s="197">
        <f>MEDIAN(2,2,2,2,2,2,2,2,2,2)</f>
        <v>2</v>
      </c>
      <c r="ES26">
        <f t="shared" si="29"/>
        <v>5</v>
      </c>
      <c r="EU26" s="165">
        <v>23</v>
      </c>
      <c r="EV26" s="32">
        <v>0</v>
      </c>
      <c r="EW26" s="32">
        <f>AVERAGE(3,3,2,3,2,2,2,2,2,2,2,3,2,2,2,2,3,2,2)</f>
        <v>2.263157894736842</v>
      </c>
      <c r="EX26" s="32">
        <v>1</v>
      </c>
      <c r="EY26" s="32">
        <v>0</v>
      </c>
      <c r="EZ26" s="33">
        <f t="shared" si="30"/>
        <v>3.263157894736842</v>
      </c>
      <c r="FA26" s="197">
        <f>MEDIAN(3,3,2,3,2,2,2,2,2,2,2,3,2,2,2,2,3,2,2)</f>
        <v>2</v>
      </c>
      <c r="FB26">
        <f t="shared" si="31"/>
        <v>3</v>
      </c>
      <c r="FD26" s="165">
        <v>23</v>
      </c>
      <c r="FE26" s="32">
        <v>0</v>
      </c>
      <c r="FF26" s="32">
        <f>AVERAGE(3,3,3,3,3)</f>
        <v>3</v>
      </c>
      <c r="FG26" s="32">
        <v>0</v>
      </c>
      <c r="FH26" s="32">
        <v>0</v>
      </c>
      <c r="FI26" s="33">
        <f t="shared" si="32"/>
        <v>3</v>
      </c>
      <c r="FJ26" s="197">
        <f>MEDIAN(3,3,3,3,3)</f>
        <v>3</v>
      </c>
      <c r="FK26">
        <f t="shared" si="33"/>
        <v>3</v>
      </c>
      <c r="FM26" s="165">
        <v>23</v>
      </c>
      <c r="FN26" s="32">
        <v>1</v>
      </c>
      <c r="FO26" s="32">
        <f>AVERAGE(3,3,3,2,3,3,2,3,3)</f>
        <v>2.7777777777777777</v>
      </c>
      <c r="FP26" s="32">
        <v>1</v>
      </c>
      <c r="FQ26" s="32">
        <v>0</v>
      </c>
      <c r="FR26" s="33">
        <f t="shared" si="34"/>
        <v>4.7777777777777777</v>
      </c>
      <c r="FS26" s="197">
        <f>MEDIAN(3,3,3,2,3,3,2,3,3)</f>
        <v>3</v>
      </c>
      <c r="FT26">
        <f t="shared" si="35"/>
        <v>5</v>
      </c>
      <c r="FV26" s="165">
        <v>23</v>
      </c>
      <c r="FW26" s="32">
        <v>1</v>
      </c>
      <c r="FX26" s="32">
        <f>MEDIAN(2,3,2,3,3,2,2,2,3,2,2,2,3,2,3,2,3,3,3,3,2,2,2,2,3)</f>
        <v>2</v>
      </c>
      <c r="FY26" s="32">
        <v>3</v>
      </c>
      <c r="FZ26" s="32">
        <v>2</v>
      </c>
      <c r="GA26" s="33">
        <f t="shared" si="36"/>
        <v>8</v>
      </c>
      <c r="GB26" s="32">
        <f>MEDIAN(2,3,2,3,3,2,2,2,3,2,2,2,3,2,3,2,3,3,3,3,2,2,2,2,3)</f>
        <v>2</v>
      </c>
      <c r="GC26">
        <f t="shared" si="37"/>
        <v>8</v>
      </c>
      <c r="GE26" s="165">
        <v>23</v>
      </c>
      <c r="GF26" s="32">
        <v>0</v>
      </c>
      <c r="GG26" s="32">
        <f>MEDIAN(3,3,3,2,3,3,3)</f>
        <v>3</v>
      </c>
      <c r="GH26" s="32">
        <v>0</v>
      </c>
      <c r="GI26" s="32">
        <v>0</v>
      </c>
      <c r="GJ26" s="18">
        <f t="shared" si="38"/>
        <v>3</v>
      </c>
      <c r="GK26" s="32">
        <f>MEDIAN(3,3,3,2,3,3,3)</f>
        <v>3</v>
      </c>
      <c r="GL26">
        <f t="shared" si="39"/>
        <v>3</v>
      </c>
      <c r="GN26" s="165">
        <v>23</v>
      </c>
      <c r="GO26" s="32">
        <v>0</v>
      </c>
      <c r="GP26" s="32">
        <f>AVERAGE(3,3,3,3)</f>
        <v>3</v>
      </c>
      <c r="GQ26" s="32">
        <v>3</v>
      </c>
      <c r="GR26" s="32">
        <v>1</v>
      </c>
      <c r="GS26" s="33">
        <f t="shared" si="40"/>
        <v>7</v>
      </c>
      <c r="GT26" s="196">
        <f>MEDIAN(3,3,3,3)</f>
        <v>3</v>
      </c>
      <c r="GU26" s="32">
        <f t="shared" si="41"/>
        <v>7</v>
      </c>
      <c r="GW26" s="165">
        <v>23</v>
      </c>
      <c r="GX26" s="32">
        <v>1</v>
      </c>
      <c r="GY26" s="32">
        <f>AVERAGE(2,2,3,3)</f>
        <v>2.5</v>
      </c>
      <c r="GZ26" s="32">
        <v>2</v>
      </c>
      <c r="HA26" s="32">
        <v>1</v>
      </c>
      <c r="HB26" s="33">
        <f t="shared" si="42"/>
        <v>6.5</v>
      </c>
      <c r="HC26" s="196">
        <f>MEDIAN(2,2,3,3)</f>
        <v>2.5</v>
      </c>
      <c r="HD26">
        <f t="shared" si="43"/>
        <v>6.5</v>
      </c>
      <c r="HF26" s="165">
        <v>23</v>
      </c>
      <c r="HG26" s="32">
        <v>0</v>
      </c>
      <c r="HH26" s="32">
        <f>AVERAGE(3,3,3,2,2,3)</f>
        <v>2.6666666666666665</v>
      </c>
      <c r="HI26" s="32">
        <v>3</v>
      </c>
      <c r="HJ26" s="32">
        <v>1</v>
      </c>
      <c r="HK26" s="33">
        <f t="shared" si="44"/>
        <v>6.6666666666666661</v>
      </c>
      <c r="HL26" s="32">
        <f>MEDIAN(3,3,3,2,2,3)</f>
        <v>3</v>
      </c>
      <c r="HM26">
        <f t="shared" si="45"/>
        <v>7</v>
      </c>
      <c r="HO26" s="165">
        <v>23</v>
      </c>
      <c r="HP26" s="32">
        <v>1</v>
      </c>
      <c r="HQ26" s="32">
        <f>AVERAGE(3,3,3,3,3,3,3,2)</f>
        <v>2.875</v>
      </c>
      <c r="HR26" s="32">
        <v>1</v>
      </c>
      <c r="HS26" s="32">
        <v>0</v>
      </c>
      <c r="HT26" s="33">
        <f t="shared" si="46"/>
        <v>4.875</v>
      </c>
      <c r="HU26" s="32">
        <f>MEDIAN(3,3,3,3,3,3,3,2)</f>
        <v>3</v>
      </c>
      <c r="HV26">
        <f t="shared" si="47"/>
        <v>5</v>
      </c>
      <c r="HX26" s="165">
        <v>23</v>
      </c>
      <c r="HY26" s="32">
        <v>1</v>
      </c>
      <c r="HZ26" s="32">
        <f>MEDIAN(3,3,2,3,2,2,2,2,2,2)</f>
        <v>2</v>
      </c>
      <c r="IA26" s="32" t="s">
        <v>31</v>
      </c>
      <c r="IB26" s="32">
        <v>2</v>
      </c>
      <c r="IC26" s="33">
        <f>SUM(HY26:IB26)</f>
        <v>5</v>
      </c>
      <c r="ID26" s="32">
        <f>MEDIAN(3,3,2,3,2,2,2,2,2,2)</f>
        <v>2</v>
      </c>
      <c r="IE26">
        <f>SUM(HY26,IA26,IB26,ID26)</f>
        <v>5</v>
      </c>
      <c r="IG26" s="165">
        <v>23</v>
      </c>
      <c r="IH26" s="32">
        <v>1</v>
      </c>
      <c r="II26" s="32">
        <f>MEDIAN(3,3,3,3,3,3,3,2,3,3,2,2)</f>
        <v>3</v>
      </c>
      <c r="IJ26" s="32">
        <v>2</v>
      </c>
      <c r="IK26" s="32">
        <v>1</v>
      </c>
      <c r="IL26" s="33">
        <f t="shared" si="50"/>
        <v>7</v>
      </c>
      <c r="IM26" s="32">
        <f>MEDIAN(3,3,3,3,3,3,3,2,3,3,2,2)</f>
        <v>3</v>
      </c>
      <c r="IN26">
        <f t="shared" si="51"/>
        <v>7</v>
      </c>
      <c r="IP26" s="165">
        <v>23</v>
      </c>
      <c r="IQ26" s="32">
        <v>1</v>
      </c>
      <c r="IR26" s="32">
        <f>AVERAGE(3,3,3,3,2,3,3,2,3)</f>
        <v>2.7777777777777777</v>
      </c>
      <c r="IS26" s="32">
        <v>1</v>
      </c>
      <c r="IT26" s="32">
        <v>1</v>
      </c>
      <c r="IU26" s="33">
        <f t="shared" si="52"/>
        <v>5.7777777777777777</v>
      </c>
      <c r="IV26" s="32">
        <f>MEDIAN(3,3,3,3,2,3,3,2,3)</f>
        <v>3</v>
      </c>
      <c r="IW26">
        <f t="shared" si="53"/>
        <v>6</v>
      </c>
      <c r="IY26" s="165">
        <v>23</v>
      </c>
      <c r="IZ26" s="32">
        <v>1</v>
      </c>
      <c r="JA26" s="32">
        <f>AVERAGE(3,3,3,3,3,3,3,3,3)</f>
        <v>3</v>
      </c>
      <c r="JB26" s="32">
        <v>3</v>
      </c>
      <c r="JC26" s="32">
        <v>2</v>
      </c>
      <c r="JD26" s="33">
        <f t="shared" si="54"/>
        <v>9</v>
      </c>
      <c r="JE26" s="32">
        <f>MEDIAN(3,3,3,3,3,3,3,3,3)</f>
        <v>3</v>
      </c>
      <c r="JF26">
        <f t="shared" si="55"/>
        <v>9</v>
      </c>
      <c r="JH26" s="165">
        <v>23</v>
      </c>
      <c r="JI26" s="32">
        <v>3</v>
      </c>
      <c r="JJ26" s="32">
        <f>MEDIAN(3,3,3,3,2,3)</f>
        <v>3</v>
      </c>
      <c r="JK26" s="32">
        <v>3</v>
      </c>
      <c r="JL26" s="32">
        <v>2</v>
      </c>
      <c r="JM26" s="33">
        <f t="shared" si="56"/>
        <v>11</v>
      </c>
      <c r="JN26" s="32">
        <f>MEDIAN(3,3,3,3,2,3)</f>
        <v>3</v>
      </c>
      <c r="JO26">
        <f t="shared" si="57"/>
        <v>11</v>
      </c>
      <c r="JQ26" s="165">
        <v>23</v>
      </c>
      <c r="JR26" s="32">
        <v>1</v>
      </c>
      <c r="JS26" s="32">
        <f>MEDIAN(3,3,3,3)</f>
        <v>3</v>
      </c>
      <c r="JT26" s="32">
        <v>1</v>
      </c>
      <c r="JU26" s="32">
        <v>1</v>
      </c>
      <c r="JV26" s="33">
        <f t="shared" si="58"/>
        <v>6</v>
      </c>
      <c r="JW26" s="32">
        <f>MEDIAN(3,3,3,3)</f>
        <v>3</v>
      </c>
      <c r="JX26">
        <f t="shared" si="59"/>
        <v>6</v>
      </c>
      <c r="JZ26" s="165">
        <v>23</v>
      </c>
      <c r="KA26" s="32">
        <v>2</v>
      </c>
      <c r="KB26" s="32">
        <f>AVERAGE(3,3,3,2,3,3,3,3,3,3,3,3,3)</f>
        <v>2.9230769230769229</v>
      </c>
      <c r="KC26" s="32">
        <v>2</v>
      </c>
      <c r="KD26" s="32">
        <v>1</v>
      </c>
      <c r="KE26" s="33">
        <f t="shared" si="60"/>
        <v>7.9230769230769234</v>
      </c>
      <c r="KF26" s="32">
        <f>MEDIAN(3,3,3,2,3,3,3,3,3,3,3,3,3)</f>
        <v>3</v>
      </c>
      <c r="KG26">
        <f t="shared" si="61"/>
        <v>8</v>
      </c>
      <c r="KI26" s="165">
        <v>23</v>
      </c>
      <c r="KJ26" s="32">
        <v>1</v>
      </c>
      <c r="KK26" s="32">
        <f>AVERAGE(3,3,2,3,2,3,3,3,2,3,3,3,2,3,3)</f>
        <v>2.7333333333333334</v>
      </c>
      <c r="KL26" s="32">
        <v>3</v>
      </c>
      <c r="KM26" s="32">
        <v>1</v>
      </c>
      <c r="KN26" s="33">
        <f t="shared" si="62"/>
        <v>7.7333333333333334</v>
      </c>
      <c r="KO26" s="32">
        <f>MEDIAN(3,3,2,3,2,3,3,3,2,3,3,3,2,3,3)</f>
        <v>3</v>
      </c>
      <c r="KP26">
        <f t="shared" si="63"/>
        <v>8</v>
      </c>
      <c r="KR26" s="165">
        <v>23</v>
      </c>
      <c r="KS26" s="32">
        <v>2</v>
      </c>
      <c r="KT26" s="32">
        <f>AVERAGE(3,3,2,2,2,3,3,3,3)</f>
        <v>2.6666666666666665</v>
      </c>
      <c r="KU26" s="32">
        <v>3</v>
      </c>
      <c r="KV26" s="32">
        <v>2</v>
      </c>
      <c r="KW26" s="33">
        <f t="shared" si="64"/>
        <v>9.6666666666666661</v>
      </c>
      <c r="KX26" s="32">
        <f>MEDIAN(3,3,2,2,2,3,3,3,3)</f>
        <v>3</v>
      </c>
      <c r="KY26">
        <f t="shared" si="65"/>
        <v>10</v>
      </c>
      <c r="LA26" s="165">
        <v>23</v>
      </c>
      <c r="LB26" s="32">
        <v>1</v>
      </c>
      <c r="LC26" s="32">
        <f>AVERAGE(2,2,2,2,3,2)</f>
        <v>2.1666666666666665</v>
      </c>
      <c r="LD26" s="32">
        <v>3</v>
      </c>
      <c r="LE26" s="32">
        <v>2</v>
      </c>
      <c r="LF26" s="33">
        <f t="shared" si="66"/>
        <v>8.1666666666666661</v>
      </c>
      <c r="LG26" s="32">
        <f>MEDIAN(2,2,2,2,3,2)</f>
        <v>2</v>
      </c>
      <c r="LH26">
        <f t="shared" si="67"/>
        <v>8</v>
      </c>
      <c r="LK26" s="165">
        <v>23</v>
      </c>
      <c r="LL26" s="32">
        <v>0</v>
      </c>
      <c r="LM26" s="32">
        <f>AVERAGE(3,3,2,3,2,3,3,2)</f>
        <v>2.625</v>
      </c>
      <c r="LN26" s="32">
        <v>1</v>
      </c>
      <c r="LO26" s="32">
        <v>2</v>
      </c>
      <c r="LP26" s="33">
        <f t="shared" si="68"/>
        <v>5.625</v>
      </c>
      <c r="LQ26" s="32">
        <f>MEDIAN(3,3,2,3,2,3,3,2)</f>
        <v>3</v>
      </c>
      <c r="LR26">
        <f t="shared" si="69"/>
        <v>6</v>
      </c>
      <c r="LT26" s="165">
        <v>23</v>
      </c>
      <c r="LU26" s="32">
        <v>1</v>
      </c>
      <c r="LV26" s="32">
        <f>AVERAGE(3,3,3,3,2)</f>
        <v>2.8</v>
      </c>
      <c r="LW26" s="32">
        <v>3</v>
      </c>
      <c r="LX26" s="32">
        <v>2</v>
      </c>
      <c r="LY26" s="33">
        <f t="shared" si="70"/>
        <v>8.8000000000000007</v>
      </c>
      <c r="LZ26" s="32">
        <f>MEDIAN(3,3,3,3,2)</f>
        <v>3</v>
      </c>
      <c r="MA26">
        <f t="shared" si="71"/>
        <v>9</v>
      </c>
      <c r="MC26" s="165">
        <v>23</v>
      </c>
      <c r="MD26" s="32">
        <v>1</v>
      </c>
      <c r="ME26" s="32">
        <f>AVERAGE(2,2,3,3,2,2,2,2,2)</f>
        <v>2.2222222222222223</v>
      </c>
      <c r="MF26" s="32">
        <v>2</v>
      </c>
      <c r="MG26" s="32">
        <v>2</v>
      </c>
      <c r="MH26" s="33">
        <f t="shared" si="72"/>
        <v>7.2222222222222223</v>
      </c>
      <c r="MI26" s="32">
        <f>MEDIAN(2,2,3,3,2,2,2,2,2)</f>
        <v>2</v>
      </c>
      <c r="MJ26">
        <f t="shared" si="73"/>
        <v>7</v>
      </c>
      <c r="ML26" s="165">
        <v>23</v>
      </c>
      <c r="MM26" s="32">
        <v>2</v>
      </c>
      <c r="MN26" s="32">
        <f>AVERAGE(2,3,3,3,3,3,3,3,3,3,3,3,3,3,3,3,3,3,3,3)</f>
        <v>2.95</v>
      </c>
      <c r="MO26" s="32">
        <v>3</v>
      </c>
      <c r="MP26" s="32">
        <v>1</v>
      </c>
      <c r="MQ26" s="33">
        <f t="shared" si="74"/>
        <v>8.9499999999999993</v>
      </c>
      <c r="MR26" s="32">
        <f>MEDIAN(2,3,3,3,3,3,3,3,3,3,3,3,3,3,3,3,3,3,3,3)</f>
        <v>3</v>
      </c>
      <c r="MS26">
        <f t="shared" si="75"/>
        <v>9</v>
      </c>
      <c r="MU26" s="165">
        <v>23</v>
      </c>
      <c r="MV26" s="32">
        <v>1</v>
      </c>
      <c r="MW26" s="32">
        <f>MEDIAN(3,3,3,3,3,2,2,3,3,3,2,2,3,3,2,3)</f>
        <v>3</v>
      </c>
      <c r="MX26" s="32">
        <v>1</v>
      </c>
      <c r="MY26" s="32">
        <v>1</v>
      </c>
      <c r="MZ26" s="33">
        <f t="shared" si="76"/>
        <v>6</v>
      </c>
      <c r="NA26" s="32">
        <f>MEDIAN(3,3,3,3,3,2,2,3,3,3,2,2,3,3,2,3)</f>
        <v>3</v>
      </c>
      <c r="NB26">
        <f t="shared" si="77"/>
        <v>6</v>
      </c>
      <c r="ND26" s="165">
        <v>23</v>
      </c>
      <c r="NE26" s="32">
        <v>1</v>
      </c>
      <c r="NF26" s="32">
        <f>MEDIAN(2,3,2,3,2,2,2,2,2)</f>
        <v>2</v>
      </c>
      <c r="NG26" s="32">
        <v>2</v>
      </c>
      <c r="NH26" s="32">
        <v>2</v>
      </c>
      <c r="NI26" s="33">
        <f t="shared" si="78"/>
        <v>7</v>
      </c>
      <c r="NJ26" s="32">
        <f>MEDIAN(2,3,2,3,2,2,2,2,2)</f>
        <v>2</v>
      </c>
      <c r="NK26">
        <f t="shared" si="79"/>
        <v>7</v>
      </c>
      <c r="NM26" s="165">
        <v>23</v>
      </c>
      <c r="NN26" s="32">
        <v>0</v>
      </c>
      <c r="NO26" s="32">
        <f>AVERAGE(3,2,3,3,3,3,3,3,3,2,2,3,2,2,2,3,2,3)</f>
        <v>2.6111111111111112</v>
      </c>
      <c r="NP26" s="32">
        <v>1</v>
      </c>
      <c r="NQ26" s="32">
        <v>0</v>
      </c>
      <c r="NR26" s="33">
        <f t="shared" si="80"/>
        <v>3.6111111111111112</v>
      </c>
      <c r="NS26" s="32">
        <f>MEDIAN(3,2,3,3,3,3,3,3,3,2,2,3,2,2,2,3,2,3)</f>
        <v>3</v>
      </c>
      <c r="NT26">
        <f t="shared" si="81"/>
        <v>4</v>
      </c>
      <c r="NV26" s="165">
        <v>23</v>
      </c>
      <c r="NW26" s="32">
        <v>2</v>
      </c>
      <c r="NX26" s="32">
        <f>AVERAGE(3,3,3,3,3,3,3,3,3,3,3,3)</f>
        <v>3</v>
      </c>
      <c r="NY26" s="32">
        <v>3</v>
      </c>
      <c r="NZ26" s="32">
        <v>1</v>
      </c>
      <c r="OA26" s="33">
        <f t="shared" si="82"/>
        <v>9</v>
      </c>
      <c r="OB26" s="32">
        <f>MEDIAN(3,3,3,3,3,3,3,3,3,3,3,3)</f>
        <v>3</v>
      </c>
      <c r="OC26">
        <f t="shared" si="83"/>
        <v>9</v>
      </c>
      <c r="OE26" s="165">
        <v>23</v>
      </c>
      <c r="OF26" s="32">
        <v>1</v>
      </c>
      <c r="OG26" s="32">
        <f>MEDIAN(3,3,3,3,3,3,2)</f>
        <v>3</v>
      </c>
      <c r="OH26" s="32">
        <v>3</v>
      </c>
      <c r="OI26" s="32">
        <v>2</v>
      </c>
      <c r="OJ26" s="33">
        <f t="shared" si="84"/>
        <v>9</v>
      </c>
      <c r="OK26" s="32">
        <f>MEDIAN(3,3,3,3,3,3,2)</f>
        <v>3</v>
      </c>
      <c r="OL26">
        <f t="shared" si="85"/>
        <v>9</v>
      </c>
      <c r="ON26" s="165">
        <v>23</v>
      </c>
      <c r="OO26" s="32">
        <v>1</v>
      </c>
      <c r="OP26" s="32">
        <f>MEDIAN(3,3,3,3,3,2)</f>
        <v>3</v>
      </c>
      <c r="OQ26" s="32">
        <v>1</v>
      </c>
      <c r="OR26" s="32">
        <v>0</v>
      </c>
      <c r="OS26" s="33">
        <f t="shared" si="86"/>
        <v>5</v>
      </c>
      <c r="OT26" s="32">
        <f>MEDIAN(3,3,3,3,3,2)</f>
        <v>3</v>
      </c>
      <c r="OU26">
        <f t="shared" si="87"/>
        <v>5</v>
      </c>
      <c r="OW26" s="165">
        <v>23</v>
      </c>
      <c r="OX26" s="32">
        <v>1</v>
      </c>
      <c r="OY26" s="32">
        <f>AVERAGE(3,3,2,1,2,2,2,1,3)</f>
        <v>2.1111111111111112</v>
      </c>
      <c r="OZ26" s="32">
        <v>3</v>
      </c>
      <c r="PA26" s="32">
        <v>1</v>
      </c>
      <c r="PB26" s="33">
        <f t="shared" si="88"/>
        <v>7.1111111111111107</v>
      </c>
      <c r="PC26" s="32">
        <f>MEDIAN(3,3,2,1,2,2,2,1,3)</f>
        <v>2</v>
      </c>
      <c r="PD26">
        <f t="shared" si="89"/>
        <v>7</v>
      </c>
      <c r="PF26" s="165">
        <v>23</v>
      </c>
      <c r="PG26" s="32">
        <v>1</v>
      </c>
      <c r="PH26" s="32">
        <f>AVERAGE(2,1,2,2,2,2,2)</f>
        <v>1.8571428571428572</v>
      </c>
      <c r="PI26" s="32">
        <v>1</v>
      </c>
      <c r="PJ26" s="32">
        <v>0</v>
      </c>
      <c r="PK26" s="33">
        <f t="shared" si="90"/>
        <v>3.8571428571428572</v>
      </c>
      <c r="PL26" s="32">
        <f>MEDIAN(2,1,2,2,2,2,2)</f>
        <v>2</v>
      </c>
      <c r="PM26">
        <f t="shared" si="91"/>
        <v>4</v>
      </c>
      <c r="PO26" s="165">
        <v>23</v>
      </c>
      <c r="PP26" s="32">
        <v>0</v>
      </c>
      <c r="PQ26" s="32">
        <f>MEDIAN(3,2,2,2,1,2,2)</f>
        <v>2</v>
      </c>
      <c r="PR26" s="32">
        <v>2</v>
      </c>
      <c r="PS26" s="32">
        <v>1</v>
      </c>
      <c r="PT26" s="33">
        <f t="shared" si="92"/>
        <v>5</v>
      </c>
      <c r="PV26" s="165">
        <v>23</v>
      </c>
      <c r="PW26" s="32">
        <v>1</v>
      </c>
      <c r="PX26" s="32">
        <f>MEDIAN(2,1,3,3,2,2,3)</f>
        <v>2</v>
      </c>
      <c r="PY26" s="32">
        <v>3</v>
      </c>
      <c r="PZ26" s="32">
        <v>1</v>
      </c>
      <c r="QA26" s="33">
        <f t="shared" si="93"/>
        <v>7</v>
      </c>
      <c r="QB26" s="32">
        <f>MEDIAN(2,1,3,3,2,2,3)</f>
        <v>2</v>
      </c>
      <c r="QC26">
        <f t="shared" si="94"/>
        <v>7</v>
      </c>
      <c r="QE26" s="165">
        <v>23</v>
      </c>
      <c r="QF26" s="32">
        <v>0</v>
      </c>
      <c r="QG26" s="32">
        <f>MEDIAN(3,3,3,2,3,2,2,2,2,2,3,3,3)</f>
        <v>3</v>
      </c>
      <c r="QH26" s="32">
        <v>0</v>
      </c>
      <c r="QI26" s="32">
        <v>1</v>
      </c>
      <c r="QJ26" s="33">
        <f t="shared" si="95"/>
        <v>4</v>
      </c>
      <c r="QK26" s="32">
        <f>MEDIAN(3,3,3,2,3,2,2,2,2,2,3,3,3)</f>
        <v>3</v>
      </c>
      <c r="QL26">
        <f t="shared" si="96"/>
        <v>4</v>
      </c>
      <c r="QN26" s="165">
        <v>23</v>
      </c>
      <c r="QO26" s="32">
        <v>2</v>
      </c>
      <c r="QP26" s="32">
        <f>MEDIAN(2,2,2,2,2,3,3)</f>
        <v>2</v>
      </c>
      <c r="QQ26" s="32">
        <v>2</v>
      </c>
      <c r="QR26" s="32">
        <v>3</v>
      </c>
      <c r="QS26" s="33">
        <f t="shared" si="97"/>
        <v>9</v>
      </c>
      <c r="QT26" s="32">
        <f>MEDIAN(2,2,2,2,2,3,3)</f>
        <v>2</v>
      </c>
      <c r="QU26">
        <f t="shared" si="98"/>
        <v>9</v>
      </c>
      <c r="QW26" s="165">
        <v>23</v>
      </c>
      <c r="QX26" s="32">
        <v>1</v>
      </c>
      <c r="QY26" s="32">
        <f>AVERAGE(3,2,3,3,2,3)</f>
        <v>2.6666666666666665</v>
      </c>
      <c r="QZ26" s="32">
        <v>3</v>
      </c>
      <c r="RA26" s="32">
        <v>2</v>
      </c>
      <c r="RB26" s="33">
        <f t="shared" si="99"/>
        <v>8.6666666666666661</v>
      </c>
      <c r="RC26" s="32">
        <f>MEDIAN(3,2,3,3,2,3)</f>
        <v>3</v>
      </c>
      <c r="RD26">
        <f t="shared" si="100"/>
        <v>9</v>
      </c>
      <c r="RF26" s="165">
        <v>23</v>
      </c>
      <c r="RG26" s="32">
        <v>1</v>
      </c>
      <c r="RH26" s="32">
        <f>AVERAGE(2,3,3,2,2,2,2)</f>
        <v>2.2857142857142856</v>
      </c>
      <c r="RI26" s="32">
        <v>0</v>
      </c>
      <c r="RJ26" s="32">
        <v>1</v>
      </c>
      <c r="RK26" s="33">
        <f t="shared" si="101"/>
        <v>4.2857142857142856</v>
      </c>
      <c r="RL26" s="32">
        <f>MEDIAN(2,3,3,2,2,2,2)</f>
        <v>2</v>
      </c>
      <c r="RM26">
        <f t="shared" si="102"/>
        <v>4</v>
      </c>
      <c r="RO26" s="165">
        <v>23</v>
      </c>
      <c r="RP26" s="32">
        <v>2</v>
      </c>
      <c r="RQ26" s="32">
        <f>AVERAGE(3,3,3,3,3)</f>
        <v>3</v>
      </c>
      <c r="RR26" s="32">
        <v>3</v>
      </c>
      <c r="RS26" s="32">
        <v>3</v>
      </c>
      <c r="RT26" s="33">
        <f t="shared" si="103"/>
        <v>11</v>
      </c>
      <c r="RU26" s="32">
        <f>MEDIAN(3,3,3,3,3)</f>
        <v>3</v>
      </c>
      <c r="RV26">
        <f t="shared" si="104"/>
        <v>11</v>
      </c>
      <c r="RX26" s="165">
        <v>23</v>
      </c>
      <c r="RY26" s="32">
        <v>0</v>
      </c>
      <c r="RZ26" s="32">
        <f>AVERAGE(3,3,3,3)</f>
        <v>3</v>
      </c>
      <c r="SA26" s="32">
        <v>3</v>
      </c>
      <c r="SB26" s="32">
        <v>2</v>
      </c>
      <c r="SC26" s="33">
        <f t="shared" si="105"/>
        <v>8</v>
      </c>
      <c r="SD26" s="32">
        <f>MEDIAN(3,3,3,3)</f>
        <v>3</v>
      </c>
      <c r="SE26">
        <f t="shared" si="106"/>
        <v>8</v>
      </c>
      <c r="SG26" s="165">
        <v>23</v>
      </c>
      <c r="SH26" s="32">
        <v>2</v>
      </c>
      <c r="SI26" s="32">
        <f>MEDIAN(3,3,3,2,3,3,3,3,3,2)</f>
        <v>3</v>
      </c>
      <c r="SJ26" s="32">
        <v>3</v>
      </c>
      <c r="SK26" s="32">
        <v>3</v>
      </c>
      <c r="SL26" s="33">
        <f t="shared" si="107"/>
        <v>11</v>
      </c>
      <c r="SM26" s="32">
        <f>MEDIAN(3,3,3,2,3,3,3,3,3,2)</f>
        <v>3</v>
      </c>
      <c r="SN26">
        <f t="shared" si="108"/>
        <v>11</v>
      </c>
      <c r="SP26" s="165">
        <v>23</v>
      </c>
      <c r="SQ26" s="32">
        <v>1</v>
      </c>
      <c r="SR26" s="32">
        <f>MEDIAN(3,2,2,3)</f>
        <v>2.5</v>
      </c>
      <c r="SS26" s="32">
        <v>0</v>
      </c>
      <c r="ST26" s="32">
        <v>1</v>
      </c>
      <c r="SU26" s="33">
        <f t="shared" si="109"/>
        <v>4.5</v>
      </c>
      <c r="SV26" s="32">
        <f>MEDIAN(3,2,2,3)</f>
        <v>2.5</v>
      </c>
      <c r="SW26">
        <f t="shared" si="110"/>
        <v>4.5</v>
      </c>
      <c r="SY26" s="165">
        <v>23</v>
      </c>
      <c r="SZ26" s="32">
        <v>0</v>
      </c>
      <c r="TA26" s="32">
        <f>AVERAGE(3,3,2,3,3,2)</f>
        <v>2.6666666666666665</v>
      </c>
      <c r="TB26" s="32">
        <v>1</v>
      </c>
      <c r="TC26" s="32">
        <v>0</v>
      </c>
      <c r="TD26" s="33">
        <f t="shared" si="111"/>
        <v>3.6666666666666665</v>
      </c>
      <c r="TE26" s="32">
        <f>MEDIAN(3,3,2,3,3,2)</f>
        <v>3</v>
      </c>
      <c r="TF26">
        <f t="shared" si="112"/>
        <v>4</v>
      </c>
      <c r="TH26" s="165">
        <v>23</v>
      </c>
      <c r="TI26" s="32">
        <v>1</v>
      </c>
      <c r="TJ26" s="32">
        <f>MEDIAN(3,2,3,3,3,3,3,3,3,3,2)</f>
        <v>3</v>
      </c>
      <c r="TK26" s="32">
        <v>3</v>
      </c>
      <c r="TL26" s="32">
        <v>2</v>
      </c>
      <c r="TM26" s="33">
        <f t="shared" si="113"/>
        <v>9</v>
      </c>
      <c r="TN26" s="32">
        <f>MEDIAN(3,2,3,3,3,3,3,3,3,3,2)</f>
        <v>3</v>
      </c>
      <c r="TO26">
        <f t="shared" si="114"/>
        <v>9</v>
      </c>
      <c r="TQ26" s="165">
        <v>23</v>
      </c>
      <c r="TR26" s="32">
        <v>0</v>
      </c>
      <c r="TS26" s="32">
        <f>MEDIAN(3,3,3,2,2,3,2,3,3,3,3,3)</f>
        <v>3</v>
      </c>
      <c r="TT26" s="32">
        <v>3</v>
      </c>
      <c r="TU26" s="32">
        <v>1</v>
      </c>
      <c r="TV26" s="33">
        <f t="shared" si="115"/>
        <v>7</v>
      </c>
      <c r="TX26" s="165">
        <v>23</v>
      </c>
      <c r="TY26" s="32">
        <v>1</v>
      </c>
      <c r="TZ26" s="32">
        <f>MEDIAN(2,3,3,3,3,3,3,3,3)</f>
        <v>3</v>
      </c>
      <c r="UA26" s="32">
        <v>2</v>
      </c>
      <c r="UB26" s="32">
        <v>1</v>
      </c>
      <c r="UC26" s="33">
        <f t="shared" si="116"/>
        <v>7</v>
      </c>
      <c r="UD26" s="32">
        <f>MEDIAN(2,3,3,3,3,3,3,3,3)</f>
        <v>3</v>
      </c>
      <c r="UE26">
        <f t="shared" si="117"/>
        <v>7</v>
      </c>
      <c r="UG26" s="165">
        <v>23</v>
      </c>
      <c r="UH26" s="32">
        <v>0</v>
      </c>
      <c r="UI26" s="32">
        <f>MEDIAN(2,2,2,2,2,2,2,2,2,2,3)</f>
        <v>2</v>
      </c>
      <c r="UJ26" s="32">
        <v>2</v>
      </c>
      <c r="UK26" s="32">
        <v>2</v>
      </c>
      <c r="UL26" s="33">
        <f t="shared" si="118"/>
        <v>6</v>
      </c>
      <c r="UN26" s="165">
        <v>23</v>
      </c>
      <c r="UO26" s="32">
        <v>1</v>
      </c>
      <c r="UP26" s="32">
        <f>AVERAGE(3,3)</f>
        <v>3</v>
      </c>
      <c r="UQ26" s="32">
        <v>2</v>
      </c>
      <c r="UR26" s="32">
        <v>2</v>
      </c>
      <c r="US26" s="33">
        <f t="shared" si="119"/>
        <v>8</v>
      </c>
      <c r="UT26" s="32">
        <f>MEDIAN(3,3)</f>
        <v>3</v>
      </c>
      <c r="UU26">
        <f t="shared" si="120"/>
        <v>8</v>
      </c>
      <c r="UW26" s="165">
        <v>23</v>
      </c>
      <c r="UX26" s="32">
        <v>2</v>
      </c>
      <c r="UY26" s="32">
        <f>AVERAGE(3,3,3,3,3,3,3,3,3,3,3,3,3,3,3,3)</f>
        <v>3</v>
      </c>
      <c r="UZ26" s="32">
        <v>3</v>
      </c>
      <c r="VA26" s="32">
        <v>2</v>
      </c>
      <c r="VB26" s="33">
        <f t="shared" si="121"/>
        <v>10</v>
      </c>
      <c r="VC26" s="32">
        <f>MEDIAN(3,3,3,3,3,3,3,3,3,3,3,3,3,3,3,3)</f>
        <v>3</v>
      </c>
      <c r="VD26">
        <f t="shared" si="122"/>
        <v>10</v>
      </c>
      <c r="VF26" s="165">
        <v>23</v>
      </c>
      <c r="VG26" s="32">
        <v>2</v>
      </c>
      <c r="VH26" s="32">
        <f>AVERAGE(3,3,3,3,3,3,3,3,3,2,2,3,3,3)</f>
        <v>2.8571428571428572</v>
      </c>
      <c r="VI26" s="32">
        <v>2</v>
      </c>
      <c r="VJ26" s="32">
        <v>1</v>
      </c>
      <c r="VK26" s="33">
        <f t="shared" si="123"/>
        <v>7.8571428571428577</v>
      </c>
      <c r="VL26" s="32">
        <f>MEDIAN(3,3,3,3,3,3,3,3,3,2,2,3,3,3)</f>
        <v>3</v>
      </c>
      <c r="VM26">
        <f t="shared" si="124"/>
        <v>8</v>
      </c>
      <c r="VO26" s="165">
        <v>23</v>
      </c>
      <c r="VP26" s="32">
        <v>2</v>
      </c>
      <c r="VQ26" s="32">
        <f>AVERAGE(3,3,3,2)</f>
        <v>2.75</v>
      </c>
      <c r="VR26" s="32">
        <v>3</v>
      </c>
      <c r="VS26" s="32">
        <v>1</v>
      </c>
      <c r="VT26" s="33">
        <f t="shared" si="125"/>
        <v>8.75</v>
      </c>
      <c r="VU26" s="32">
        <f>MEDIAN(3,3,3,2)</f>
        <v>3</v>
      </c>
      <c r="VV26">
        <f t="shared" si="126"/>
        <v>9</v>
      </c>
    </row>
    <row r="27" spans="2:594" ht="15" thickBot="1" x14ac:dyDescent="0.4">
      <c r="B27" s="165">
        <v>24</v>
      </c>
      <c r="C27" s="32">
        <v>0</v>
      </c>
      <c r="D27" s="32">
        <f>AVERAGE(2,2,2,2,2,3)</f>
        <v>2.1666666666666665</v>
      </c>
      <c r="E27" s="32">
        <v>1</v>
      </c>
      <c r="F27" s="32">
        <v>1</v>
      </c>
      <c r="G27" s="33">
        <f t="shared" si="0"/>
        <v>4.1666666666666661</v>
      </c>
      <c r="H27" s="32">
        <f>MEDIAN(2,2,2,2,2,3)</f>
        <v>2</v>
      </c>
      <c r="I27" s="75">
        <f t="shared" si="1"/>
        <v>4</v>
      </c>
      <c r="K27" s="165">
        <v>24</v>
      </c>
      <c r="L27" s="32">
        <v>0</v>
      </c>
      <c r="M27" s="32">
        <f>AVERAGE(2,2,2,3,1,2,3,2,1,3)</f>
        <v>2.1</v>
      </c>
      <c r="N27" s="32">
        <v>2</v>
      </c>
      <c r="O27" s="32">
        <v>2</v>
      </c>
      <c r="P27" s="33">
        <f t="shared" si="2"/>
        <v>6.1</v>
      </c>
      <c r="Q27" s="32">
        <f>MEDIAN(2,2,2,3,1,2,3,2,1,3)</f>
        <v>2</v>
      </c>
      <c r="R27" s="75">
        <f t="shared" si="3"/>
        <v>6</v>
      </c>
      <c r="T27" s="165">
        <v>24</v>
      </c>
      <c r="U27" s="32">
        <v>0</v>
      </c>
      <c r="V27" s="32">
        <f>AVERAGE(2,2,2,2)</f>
        <v>2</v>
      </c>
      <c r="W27" s="32">
        <v>1</v>
      </c>
      <c r="X27" s="32">
        <v>2</v>
      </c>
      <c r="Y27" s="32">
        <f>MEDIAN(2,2,2,2)</f>
        <v>2</v>
      </c>
      <c r="Z27" s="18">
        <f t="shared" si="4"/>
        <v>5</v>
      </c>
      <c r="AB27" s="165">
        <v>24</v>
      </c>
      <c r="AC27" s="32">
        <v>0</v>
      </c>
      <c r="AD27" s="32">
        <f>AVERAGE(2,2,2,2,2,2,2)</f>
        <v>2</v>
      </c>
      <c r="AE27" s="32">
        <v>3</v>
      </c>
      <c r="AF27" s="32">
        <v>2</v>
      </c>
      <c r="AG27" s="32">
        <f>MEDIAN(2,2,2,2,2,2,2)</f>
        <v>2</v>
      </c>
      <c r="AH27" s="18">
        <f t="shared" si="5"/>
        <v>7</v>
      </c>
      <c r="AJ27" s="165">
        <v>24</v>
      </c>
      <c r="AK27" s="32">
        <v>1</v>
      </c>
      <c r="AL27" s="32">
        <f>AVERAGE(2,3,3,3,2,3)</f>
        <v>2.6666666666666665</v>
      </c>
      <c r="AM27" s="32">
        <v>0</v>
      </c>
      <c r="AN27" s="32">
        <v>1</v>
      </c>
      <c r="AO27" s="33">
        <f t="shared" si="6"/>
        <v>4.6666666666666661</v>
      </c>
      <c r="AP27" s="32">
        <f>MEDIAN(2,3,3,3,2,3)</f>
        <v>3</v>
      </c>
      <c r="AQ27" s="75">
        <f t="shared" si="7"/>
        <v>5</v>
      </c>
      <c r="AS27" s="165">
        <v>24</v>
      </c>
      <c r="AT27" s="32">
        <v>1</v>
      </c>
      <c r="AU27" s="32">
        <f>AVERAGE(2,2,2,3,3)</f>
        <v>2.4</v>
      </c>
      <c r="AV27" s="32">
        <v>3</v>
      </c>
      <c r="AW27" s="32">
        <v>2</v>
      </c>
      <c r="AX27" s="33">
        <f t="shared" si="8"/>
        <v>8.4</v>
      </c>
      <c r="AY27" s="32">
        <f>MEDIAN(2,2,2,3,3)</f>
        <v>2</v>
      </c>
      <c r="AZ27" s="75">
        <f t="shared" si="9"/>
        <v>8</v>
      </c>
      <c r="BB27" s="165">
        <v>24</v>
      </c>
      <c r="BC27" s="32">
        <v>0</v>
      </c>
      <c r="BD27" s="32">
        <f>MEDIAN(2,2,2,3,2,2,2,2,1,2,2,2,2)</f>
        <v>2</v>
      </c>
      <c r="BE27" s="32">
        <v>1</v>
      </c>
      <c r="BF27" s="32">
        <v>1</v>
      </c>
      <c r="BG27" s="33">
        <f t="shared" si="10"/>
        <v>4</v>
      </c>
      <c r="BH27" s="32">
        <f>MEDIAN(2,2,2,3,2,2,2,2,1,2,2,2,2)</f>
        <v>2</v>
      </c>
      <c r="BI27" s="75">
        <f t="shared" si="11"/>
        <v>4</v>
      </c>
      <c r="BK27" s="165">
        <v>24</v>
      </c>
      <c r="BL27" s="32">
        <v>2</v>
      </c>
      <c r="BM27" s="32">
        <f>MEDIAN(2,3,2,3,2,2,3,2,3)</f>
        <v>2</v>
      </c>
      <c r="BN27" s="32">
        <v>2</v>
      </c>
      <c r="BO27" s="32">
        <v>1</v>
      </c>
      <c r="BP27" s="33">
        <f t="shared" si="12"/>
        <v>7</v>
      </c>
      <c r="BQ27" s="32">
        <f>MEDIAN(2,3,2,3,2,2,3,2,3)</f>
        <v>2</v>
      </c>
      <c r="BR27" s="75">
        <f t="shared" si="13"/>
        <v>7</v>
      </c>
      <c r="BT27" s="165">
        <v>24</v>
      </c>
      <c r="BU27" s="32">
        <v>0</v>
      </c>
      <c r="BV27" s="32">
        <f>MEDIAN(2,3,3,3,2,2)</f>
        <v>2.5</v>
      </c>
      <c r="BW27" s="32">
        <v>1</v>
      </c>
      <c r="BX27" s="32">
        <v>3</v>
      </c>
      <c r="BY27" s="33">
        <f t="shared" si="14"/>
        <v>6.5</v>
      </c>
      <c r="CB27" s="165">
        <v>24</v>
      </c>
      <c r="CC27" s="32">
        <v>2</v>
      </c>
      <c r="CD27" s="32">
        <f>MEDIAN(2,2,2,3,2,3,2,3,3,2,2)</f>
        <v>2</v>
      </c>
      <c r="CE27" s="32">
        <v>2</v>
      </c>
      <c r="CF27" s="32">
        <v>1</v>
      </c>
      <c r="CG27" s="33">
        <f t="shared" si="15"/>
        <v>7</v>
      </c>
      <c r="CJ27" s="165">
        <v>24</v>
      </c>
      <c r="CK27" s="32">
        <v>0</v>
      </c>
      <c r="CL27" s="32">
        <f>MEDIAN(2,3,3,3,2,2)</f>
        <v>2.5</v>
      </c>
      <c r="CM27" s="32">
        <v>1</v>
      </c>
      <c r="CN27" s="32">
        <v>1</v>
      </c>
      <c r="CO27" s="33">
        <f t="shared" si="16"/>
        <v>4.5</v>
      </c>
      <c r="CP27" s="32">
        <f>MEDIAN(2,3,3,3,2,2)</f>
        <v>2.5</v>
      </c>
      <c r="CQ27" s="75">
        <f t="shared" si="17"/>
        <v>4.5</v>
      </c>
      <c r="CS27" s="165">
        <v>24</v>
      </c>
      <c r="CT27" s="32">
        <v>3</v>
      </c>
      <c r="CU27" s="32">
        <f>MEDIAN(3,2,3,3,2,2,2,3,3,3)</f>
        <v>3</v>
      </c>
      <c r="CV27" s="32">
        <v>3</v>
      </c>
      <c r="CW27" s="32">
        <v>1</v>
      </c>
      <c r="CX27" s="33">
        <f t="shared" si="18"/>
        <v>10</v>
      </c>
      <c r="CY27" s="32">
        <f>MEDIAN(3,2,3,3,2,2,2,3,3,3)</f>
        <v>3</v>
      </c>
      <c r="CZ27" s="75">
        <f t="shared" si="19"/>
        <v>10</v>
      </c>
      <c r="DB27" s="165">
        <v>24</v>
      </c>
      <c r="DC27" s="32">
        <v>0</v>
      </c>
      <c r="DD27" s="32">
        <f>AVERAGE(3,2,3,2,2)</f>
        <v>2.4</v>
      </c>
      <c r="DE27" s="32">
        <v>1</v>
      </c>
      <c r="DF27" s="32">
        <v>0</v>
      </c>
      <c r="DG27" s="33">
        <f t="shared" si="20"/>
        <v>3.4</v>
      </c>
      <c r="DH27" s="32">
        <f>MEDIAN(3,2,3,2,2)</f>
        <v>2</v>
      </c>
      <c r="DI27" s="75">
        <f t="shared" si="21"/>
        <v>3</v>
      </c>
      <c r="DK27" s="165">
        <v>24</v>
      </c>
      <c r="DL27" s="32">
        <v>0</v>
      </c>
      <c r="DM27" s="32">
        <f>AVERAGE(2,2,2,2,2,2,3,3,3,3,2,2,2,3)</f>
        <v>2.3571428571428572</v>
      </c>
      <c r="DN27" s="32">
        <v>3</v>
      </c>
      <c r="DO27" s="32">
        <v>2</v>
      </c>
      <c r="DP27" s="33">
        <f t="shared" si="22"/>
        <v>7.3571428571428577</v>
      </c>
      <c r="DQ27" s="32">
        <f>MEDIAN(2,2,2,2,2,2,3,3,3,3,2,2,2,3)</f>
        <v>2</v>
      </c>
      <c r="DR27" s="75">
        <f t="shared" si="23"/>
        <v>7</v>
      </c>
      <c r="DT27" s="165">
        <v>24</v>
      </c>
      <c r="DU27" s="32">
        <v>0</v>
      </c>
      <c r="DV27" s="32">
        <f>AVERAGE(3,2,2,2,3,1,2,2,2,3,2,2)</f>
        <v>2.1666666666666665</v>
      </c>
      <c r="DW27" s="32">
        <v>2</v>
      </c>
      <c r="DX27" s="32">
        <v>2</v>
      </c>
      <c r="DY27" s="33">
        <f t="shared" si="24"/>
        <v>6.1666666666666661</v>
      </c>
      <c r="DZ27" s="32">
        <f>MEDIAN(3,2,2,2,3,1,2,2,2,3,2,2)</f>
        <v>2</v>
      </c>
      <c r="EA27" s="75">
        <f t="shared" si="25"/>
        <v>6</v>
      </c>
      <c r="EC27" s="165">
        <v>24</v>
      </c>
      <c r="ED27" s="32">
        <v>0</v>
      </c>
      <c r="EE27" s="32">
        <f>AVERAGE(3,3,3,3,2,3)</f>
        <v>2.8333333333333335</v>
      </c>
      <c r="EF27" s="32">
        <v>1</v>
      </c>
      <c r="EG27" s="32">
        <v>1</v>
      </c>
      <c r="EH27" s="33">
        <f t="shared" si="26"/>
        <v>4.8333333333333339</v>
      </c>
      <c r="EI27" s="32">
        <f>MEDIAN(3,3,3,3,2,3)</f>
        <v>3</v>
      </c>
      <c r="EJ27" s="75">
        <f t="shared" si="27"/>
        <v>5</v>
      </c>
      <c r="EL27" s="165">
        <v>24</v>
      </c>
      <c r="EM27" s="32">
        <v>1</v>
      </c>
      <c r="EN27" s="32">
        <f>AVERAGE(3,3,2,1,2)</f>
        <v>2.2000000000000002</v>
      </c>
      <c r="EO27" s="32">
        <v>1</v>
      </c>
      <c r="EP27" s="32">
        <v>2</v>
      </c>
      <c r="EQ27" s="33">
        <f t="shared" si="28"/>
        <v>6.2</v>
      </c>
      <c r="ER27" s="197">
        <f>MEDIAN(3,3,2,1,2)</f>
        <v>2</v>
      </c>
      <c r="ES27">
        <f t="shared" si="29"/>
        <v>6</v>
      </c>
      <c r="EU27" s="165">
        <v>24</v>
      </c>
      <c r="EV27" s="32">
        <v>2</v>
      </c>
      <c r="EW27" s="32">
        <f>AVERAGE(2,2,2,2,2,2,2,2,3)</f>
        <v>2.1111111111111112</v>
      </c>
      <c r="EX27" s="32">
        <v>3</v>
      </c>
      <c r="EY27" s="32">
        <v>1</v>
      </c>
      <c r="EZ27" s="33">
        <f t="shared" si="30"/>
        <v>8.1111111111111107</v>
      </c>
      <c r="FA27" s="197">
        <f>MEDIAN(2,2,2,2,2,2,2,2,3)</f>
        <v>2</v>
      </c>
      <c r="FB27">
        <f t="shared" si="31"/>
        <v>8</v>
      </c>
      <c r="FD27" s="165">
        <v>24</v>
      </c>
      <c r="FE27" s="32">
        <v>0</v>
      </c>
      <c r="FF27" s="32">
        <f>AVERAGE(3,3,3,3,3)</f>
        <v>3</v>
      </c>
      <c r="FG27" s="32">
        <v>0</v>
      </c>
      <c r="FH27" s="32">
        <v>0</v>
      </c>
      <c r="FI27" s="33">
        <f t="shared" si="32"/>
        <v>3</v>
      </c>
      <c r="FJ27" s="197">
        <f>MEDIAN(3,3,3,3,3)</f>
        <v>3</v>
      </c>
      <c r="FK27">
        <f t="shared" si="33"/>
        <v>3</v>
      </c>
      <c r="FM27" s="165">
        <v>24</v>
      </c>
      <c r="FN27" s="32">
        <v>1</v>
      </c>
      <c r="FO27" s="32">
        <f>AVERAGE(3,3,3,3)</f>
        <v>3</v>
      </c>
      <c r="FP27" s="32">
        <v>1</v>
      </c>
      <c r="FQ27" s="32">
        <v>0</v>
      </c>
      <c r="FR27" s="33">
        <f t="shared" si="34"/>
        <v>5</v>
      </c>
      <c r="FS27" s="197">
        <f>MEDIAN(3,3,3,3)</f>
        <v>3</v>
      </c>
      <c r="FT27">
        <f t="shared" si="35"/>
        <v>5</v>
      </c>
      <c r="FV27" s="165">
        <v>24</v>
      </c>
      <c r="FW27" s="32">
        <v>2</v>
      </c>
      <c r="FX27" s="32">
        <f>MEDIAN(3,2,3,3,3,2,3,3,3,3,3,3,3,3,3,3,3,2)</f>
        <v>3</v>
      </c>
      <c r="FY27" s="32">
        <v>3</v>
      </c>
      <c r="FZ27" s="32">
        <v>1</v>
      </c>
      <c r="GA27" s="33">
        <f t="shared" si="36"/>
        <v>9</v>
      </c>
      <c r="GB27" s="32">
        <f>MEDIAN(3,2,3,3,3,2,3,3,3,3,3,3,3,3,3,3,3,2)</f>
        <v>3</v>
      </c>
      <c r="GC27">
        <f t="shared" si="37"/>
        <v>9</v>
      </c>
      <c r="GE27" s="165">
        <v>24</v>
      </c>
      <c r="GF27" s="32">
        <v>1</v>
      </c>
      <c r="GG27" s="32">
        <f>MEDIAN(2,3,2,3,3,3)</f>
        <v>3</v>
      </c>
      <c r="GH27" s="32">
        <v>0</v>
      </c>
      <c r="GI27" s="32">
        <v>0</v>
      </c>
      <c r="GJ27" s="18">
        <f t="shared" si="38"/>
        <v>4</v>
      </c>
      <c r="GK27" s="32">
        <f>MEDIAN(2,3,2,3,3,3)</f>
        <v>3</v>
      </c>
      <c r="GL27">
        <f t="shared" si="39"/>
        <v>4</v>
      </c>
      <c r="GN27" s="165">
        <v>24</v>
      </c>
      <c r="GO27" s="32">
        <v>2</v>
      </c>
      <c r="GP27" s="32">
        <f>AVERAGE(3,3,3,2,3,3,2,2,3)</f>
        <v>2.6666666666666665</v>
      </c>
      <c r="GQ27" s="32">
        <v>3</v>
      </c>
      <c r="GR27" s="32">
        <v>1</v>
      </c>
      <c r="GS27" s="33">
        <f t="shared" si="40"/>
        <v>8.6666666666666661</v>
      </c>
      <c r="GT27" s="196">
        <f>MEDIAN(3,3,3,2,3,3,2,2,3)</f>
        <v>3</v>
      </c>
      <c r="GU27" s="32">
        <f t="shared" si="41"/>
        <v>9</v>
      </c>
      <c r="GW27" s="165">
        <v>24</v>
      </c>
      <c r="GX27" s="32">
        <v>1</v>
      </c>
      <c r="GY27" s="32">
        <f>AVERAGE(3,2)</f>
        <v>2.5</v>
      </c>
      <c r="GZ27" s="32">
        <v>2</v>
      </c>
      <c r="HA27" s="32">
        <v>1</v>
      </c>
      <c r="HB27" s="33">
        <f t="shared" si="42"/>
        <v>6.5</v>
      </c>
      <c r="HC27" s="196">
        <f>MEDIAN(3,2)</f>
        <v>2.5</v>
      </c>
      <c r="HD27">
        <f t="shared" si="43"/>
        <v>6.5</v>
      </c>
      <c r="HF27" s="165">
        <v>24</v>
      </c>
      <c r="HG27" s="32">
        <v>1</v>
      </c>
      <c r="HH27" s="32">
        <f>AVERAGE(2,3,2,2,3,3,3,3)</f>
        <v>2.625</v>
      </c>
      <c r="HI27" s="32">
        <v>2</v>
      </c>
      <c r="HJ27" s="32">
        <v>1</v>
      </c>
      <c r="HK27" s="33">
        <f t="shared" si="44"/>
        <v>6.625</v>
      </c>
      <c r="HL27" s="32">
        <f>MEDIAN(2,3,2,2,3,3,3,3)</f>
        <v>3</v>
      </c>
      <c r="HM27">
        <f t="shared" si="45"/>
        <v>7</v>
      </c>
      <c r="HO27" s="165">
        <v>24</v>
      </c>
      <c r="HP27" s="32">
        <v>1</v>
      </c>
      <c r="HQ27" s="32">
        <f>AVERAGE(2,2,2,2,2,3,3,2,3,3,2,2,2)</f>
        <v>2.3076923076923075</v>
      </c>
      <c r="HR27" s="32">
        <v>3</v>
      </c>
      <c r="HS27" s="32">
        <v>1</v>
      </c>
      <c r="HT27" s="33">
        <f t="shared" si="46"/>
        <v>7.3076923076923075</v>
      </c>
      <c r="HU27" s="32">
        <f>MEDIAN(2,2,2,2,2,3,3,2,3,3,2,2,2)</f>
        <v>2</v>
      </c>
      <c r="HV27">
        <f t="shared" si="47"/>
        <v>7</v>
      </c>
      <c r="HX27" s="165">
        <v>24</v>
      </c>
      <c r="HY27" s="32">
        <v>0</v>
      </c>
      <c r="HZ27" s="32">
        <f>MEDIAN(3,2,2,2,2)</f>
        <v>2</v>
      </c>
      <c r="IA27" s="32">
        <v>1</v>
      </c>
      <c r="IB27" s="32">
        <v>2</v>
      </c>
      <c r="IC27" s="33">
        <f>SUM(HY27:IB27)</f>
        <v>5</v>
      </c>
      <c r="ID27" s="32">
        <f>MEDIAN(3,2,2,2,2)</f>
        <v>2</v>
      </c>
      <c r="IE27">
        <f>SUM(HY27,IA27,IB27,ID27)</f>
        <v>5</v>
      </c>
      <c r="IG27" s="165">
        <v>24</v>
      </c>
      <c r="IH27" s="32">
        <v>2</v>
      </c>
      <c r="II27" s="32">
        <f>MEDIAN(3,3,3,3,3,3,3,3,3,3,3,3)</f>
        <v>3</v>
      </c>
      <c r="IJ27" s="32">
        <v>2</v>
      </c>
      <c r="IK27" s="32">
        <v>1</v>
      </c>
      <c r="IL27" s="33">
        <f t="shared" si="50"/>
        <v>8</v>
      </c>
      <c r="IM27" s="32">
        <f>MEDIAN(3,3,3,3,3,3,3,3,3,3,3,3)</f>
        <v>3</v>
      </c>
      <c r="IN27">
        <f t="shared" si="51"/>
        <v>8</v>
      </c>
      <c r="IP27" s="165">
        <v>24</v>
      </c>
      <c r="IQ27" s="32">
        <v>1</v>
      </c>
      <c r="IR27" s="32">
        <f>AVERAGE(3,3,3,3,3,3,3)</f>
        <v>3</v>
      </c>
      <c r="IS27" s="32">
        <v>3</v>
      </c>
      <c r="IT27" s="32">
        <v>2</v>
      </c>
      <c r="IU27" s="33">
        <f t="shared" si="52"/>
        <v>9</v>
      </c>
      <c r="IV27" s="32">
        <f>MEDIAN(3,3,3,3,3,3,3)</f>
        <v>3</v>
      </c>
      <c r="IW27">
        <f t="shared" si="53"/>
        <v>9</v>
      </c>
      <c r="IY27" s="165">
        <v>24</v>
      </c>
      <c r="IZ27" s="32"/>
      <c r="JA27" s="32">
        <f>AVERAGE(3,3,3,3,3,2)</f>
        <v>2.8333333333333335</v>
      </c>
      <c r="JB27" s="32">
        <v>3</v>
      </c>
      <c r="JC27" s="32">
        <v>2</v>
      </c>
      <c r="JD27" s="33">
        <f t="shared" si="54"/>
        <v>7.8333333333333339</v>
      </c>
      <c r="JE27" s="32">
        <f>MEDIAN(3,3,3,3,3,2)</f>
        <v>3</v>
      </c>
      <c r="JF27">
        <f t="shared" si="55"/>
        <v>8</v>
      </c>
      <c r="JH27" s="165">
        <v>24</v>
      </c>
      <c r="JI27" s="32">
        <v>0</v>
      </c>
      <c r="JJ27" s="32">
        <f>MEDIAN(2,3,3)</f>
        <v>3</v>
      </c>
      <c r="JK27" s="32">
        <v>3</v>
      </c>
      <c r="JL27" s="32">
        <v>3</v>
      </c>
      <c r="JM27" s="33">
        <f t="shared" si="56"/>
        <v>9</v>
      </c>
      <c r="JN27" s="32">
        <f>MEDIAN(2,3,3)</f>
        <v>3</v>
      </c>
      <c r="JO27">
        <f t="shared" si="57"/>
        <v>9</v>
      </c>
      <c r="JQ27" s="165">
        <v>24</v>
      </c>
      <c r="JR27" s="32">
        <v>0</v>
      </c>
      <c r="JS27" s="32">
        <f>MEDIAN(3,3,3,3,2,3,2,3,3)</f>
        <v>3</v>
      </c>
      <c r="JT27" s="32">
        <v>0</v>
      </c>
      <c r="JU27" s="32">
        <v>0</v>
      </c>
      <c r="JV27" s="33">
        <f t="shared" si="58"/>
        <v>3</v>
      </c>
      <c r="JW27" s="32">
        <f>MEDIAN(3,3,3,3,2,3,2,3,3)</f>
        <v>3</v>
      </c>
      <c r="JX27">
        <f t="shared" si="59"/>
        <v>3</v>
      </c>
      <c r="JZ27" s="165">
        <v>24</v>
      </c>
      <c r="KA27" s="32">
        <v>1</v>
      </c>
      <c r="KB27" s="32">
        <f>AVERAGE(3,3,2,3,3,3,3)</f>
        <v>2.8571428571428572</v>
      </c>
      <c r="KC27" s="32">
        <v>3</v>
      </c>
      <c r="KD27" s="32">
        <v>1</v>
      </c>
      <c r="KE27" s="33">
        <f t="shared" si="60"/>
        <v>7.8571428571428577</v>
      </c>
      <c r="KF27" s="32">
        <f>MEDIAN(3,3,2,3,3,3,3)</f>
        <v>3</v>
      </c>
      <c r="KG27">
        <f t="shared" si="61"/>
        <v>8</v>
      </c>
      <c r="KI27" s="165">
        <v>24</v>
      </c>
      <c r="KJ27" s="32">
        <v>1</v>
      </c>
      <c r="KK27" s="32">
        <f>AVERAGE(3,3,2,3,1)</f>
        <v>2.4</v>
      </c>
      <c r="KL27" s="32">
        <v>2</v>
      </c>
      <c r="KM27" s="32">
        <v>2</v>
      </c>
      <c r="KN27" s="33">
        <f t="shared" si="62"/>
        <v>7.4</v>
      </c>
      <c r="KO27" s="32">
        <f>MEDIAN(3,3,2,3,1)</f>
        <v>3</v>
      </c>
      <c r="KP27">
        <f t="shared" si="63"/>
        <v>8</v>
      </c>
      <c r="KR27" s="165">
        <v>24</v>
      </c>
      <c r="KS27" s="32">
        <v>1</v>
      </c>
      <c r="KT27" s="32">
        <f>AVERAGE(3,3,3)</f>
        <v>3</v>
      </c>
      <c r="KU27" s="32">
        <v>3</v>
      </c>
      <c r="KV27" s="32">
        <v>2</v>
      </c>
      <c r="KW27" s="33">
        <f t="shared" si="64"/>
        <v>9</v>
      </c>
      <c r="KX27" s="32">
        <f>MEDIAN(3,3,3)</f>
        <v>3</v>
      </c>
      <c r="KY27">
        <f t="shared" si="65"/>
        <v>9</v>
      </c>
      <c r="LA27" s="165">
        <v>24</v>
      </c>
      <c r="LB27" s="32">
        <v>0</v>
      </c>
      <c r="LC27" s="32">
        <f>AVERAGE(3,2,3,3,2)</f>
        <v>2.6</v>
      </c>
      <c r="LD27" s="32">
        <v>2</v>
      </c>
      <c r="LE27" s="32">
        <v>2</v>
      </c>
      <c r="LF27" s="33">
        <f t="shared" si="66"/>
        <v>6.6</v>
      </c>
      <c r="LG27" s="32">
        <f>MEDIAN(3,2,3,3,2)</f>
        <v>3</v>
      </c>
      <c r="LH27">
        <f t="shared" si="67"/>
        <v>7</v>
      </c>
      <c r="LK27" s="165">
        <v>24</v>
      </c>
      <c r="LL27" s="32">
        <v>0</v>
      </c>
      <c r="LM27" s="32">
        <f>AVERAGE(2,3,3,3)</f>
        <v>2.75</v>
      </c>
      <c r="LN27" s="32">
        <v>1</v>
      </c>
      <c r="LO27" s="32">
        <v>1</v>
      </c>
      <c r="LP27" s="33">
        <f t="shared" si="68"/>
        <v>4.75</v>
      </c>
      <c r="LQ27" s="32">
        <f>MEDIAN(2,3,3,3)</f>
        <v>3</v>
      </c>
      <c r="LR27">
        <f t="shared" si="69"/>
        <v>5</v>
      </c>
      <c r="LT27" s="165">
        <v>24</v>
      </c>
      <c r="LU27" s="32">
        <v>0</v>
      </c>
      <c r="LV27" s="32">
        <f>AVERAGE(3,2,3,2,3)</f>
        <v>2.6</v>
      </c>
      <c r="LW27" s="32">
        <v>3</v>
      </c>
      <c r="LX27" s="32">
        <v>1</v>
      </c>
      <c r="LY27" s="33">
        <f t="shared" si="70"/>
        <v>6.6</v>
      </c>
      <c r="LZ27" s="32">
        <f>MEDIAN(3,2,3,2,3)</f>
        <v>3</v>
      </c>
      <c r="MA27">
        <f t="shared" si="71"/>
        <v>7</v>
      </c>
      <c r="MC27" s="165">
        <v>24</v>
      </c>
      <c r="MD27" s="32">
        <v>0</v>
      </c>
      <c r="ME27" s="32">
        <f>AVERAGE(3,3,3,3,3,3,3,2)</f>
        <v>2.875</v>
      </c>
      <c r="MF27" s="32">
        <v>3</v>
      </c>
      <c r="MG27" s="32">
        <v>2</v>
      </c>
      <c r="MH27" s="33">
        <f t="shared" si="72"/>
        <v>7.875</v>
      </c>
      <c r="MI27" s="32">
        <f>MEDIAN(3,3,3,3,3,3,3,2)</f>
        <v>3</v>
      </c>
      <c r="MJ27">
        <f t="shared" si="73"/>
        <v>8</v>
      </c>
      <c r="ML27" s="165">
        <v>24</v>
      </c>
      <c r="MM27" s="32">
        <v>1</v>
      </c>
      <c r="MN27" s="32">
        <f>AVERAGE(3,3,2,3,3,3,3,3,2,3,3,3,3,3,3,3)</f>
        <v>2.875</v>
      </c>
      <c r="MO27" s="32">
        <v>3</v>
      </c>
      <c r="MP27" s="32">
        <v>1</v>
      </c>
      <c r="MQ27" s="33">
        <f t="shared" si="74"/>
        <v>7.875</v>
      </c>
      <c r="MR27" s="32">
        <f>MEDIAN(3,3,2,3,3,3,3,3,2,3,3,3,3,3,3,3)</f>
        <v>3</v>
      </c>
      <c r="MS27">
        <f t="shared" si="75"/>
        <v>8</v>
      </c>
      <c r="MU27" s="165">
        <v>24</v>
      </c>
      <c r="MV27" s="32">
        <v>3</v>
      </c>
      <c r="MW27" s="32">
        <f>MEDIAN(3,3,3,3,3,3,3,3)</f>
        <v>3</v>
      </c>
      <c r="MX27" s="32">
        <v>2</v>
      </c>
      <c r="MY27" s="32">
        <v>2</v>
      </c>
      <c r="MZ27" s="33">
        <f t="shared" si="76"/>
        <v>10</v>
      </c>
      <c r="NA27" s="32">
        <f>MEDIAN(3,3,3,3,3,3,3,3)</f>
        <v>3</v>
      </c>
      <c r="NB27">
        <f t="shared" si="77"/>
        <v>10</v>
      </c>
      <c r="ND27" s="165">
        <v>24</v>
      </c>
      <c r="NE27" s="32">
        <v>0</v>
      </c>
      <c r="NF27" s="32">
        <f>MEDIAN(3,2,2,2,2,2,2,2,3,3,2,2,2,3,2,2)</f>
        <v>2</v>
      </c>
      <c r="NG27" s="32">
        <v>0</v>
      </c>
      <c r="NH27" s="32">
        <v>1</v>
      </c>
      <c r="NI27" s="33">
        <f t="shared" si="78"/>
        <v>3</v>
      </c>
      <c r="NJ27" s="32">
        <f>MEDIAN(3,2,2,2,2,2,2,2,3,3,2,2,2,3,2,2)</f>
        <v>2</v>
      </c>
      <c r="NK27">
        <f t="shared" si="79"/>
        <v>3</v>
      </c>
      <c r="NM27" s="165">
        <v>24</v>
      </c>
      <c r="NN27" s="32">
        <v>1</v>
      </c>
      <c r="NO27" s="32">
        <f>AVERAGE(3,3,3,3,3)</f>
        <v>3</v>
      </c>
      <c r="NP27" s="32">
        <v>3</v>
      </c>
      <c r="NQ27" s="32">
        <v>2</v>
      </c>
      <c r="NR27" s="33">
        <f t="shared" si="80"/>
        <v>9</v>
      </c>
      <c r="NS27" s="32">
        <f>MEDIAN(3,3,3,3,3)</f>
        <v>3</v>
      </c>
      <c r="NT27">
        <f t="shared" si="81"/>
        <v>9</v>
      </c>
      <c r="NV27" s="165">
        <v>24</v>
      </c>
      <c r="NW27" s="32">
        <v>2</v>
      </c>
      <c r="NX27" s="32">
        <f>AVERAGE(3,3,3,3,2,3,3,3)</f>
        <v>2.875</v>
      </c>
      <c r="NY27" s="32">
        <v>3</v>
      </c>
      <c r="NZ27" s="32">
        <v>2</v>
      </c>
      <c r="OA27" s="33">
        <f t="shared" si="82"/>
        <v>9.875</v>
      </c>
      <c r="OB27" s="32">
        <f>MEDIAN(3,3,3,3,2,3,3,3)</f>
        <v>3</v>
      </c>
      <c r="OC27">
        <f t="shared" si="83"/>
        <v>10</v>
      </c>
      <c r="OE27" s="165">
        <v>24</v>
      </c>
      <c r="OF27" s="32">
        <v>1</v>
      </c>
      <c r="OG27" s="32">
        <f>MEDIAN(3,3,3,3,3,3,3,3,2,3,3,3,2)</f>
        <v>3</v>
      </c>
      <c r="OH27" s="32">
        <v>3</v>
      </c>
      <c r="OI27" s="32">
        <v>2</v>
      </c>
      <c r="OJ27" s="33">
        <f t="shared" si="84"/>
        <v>9</v>
      </c>
      <c r="OK27" s="32">
        <f>MEDIAN(3,3,3,3,3,3,3,3,2,3,3,3,2)</f>
        <v>3</v>
      </c>
      <c r="OL27">
        <f t="shared" si="85"/>
        <v>9</v>
      </c>
      <c r="ON27" s="165">
        <v>24</v>
      </c>
      <c r="OO27" s="32">
        <v>2</v>
      </c>
      <c r="OP27" s="32">
        <f>MEDIAN(3,3,3,3,3)</f>
        <v>3</v>
      </c>
      <c r="OQ27" s="32">
        <v>1</v>
      </c>
      <c r="OR27" s="32">
        <v>1</v>
      </c>
      <c r="OS27" s="33">
        <f t="shared" si="86"/>
        <v>7</v>
      </c>
      <c r="OT27" s="32">
        <f>MEDIAN(3,3,3,3,3)</f>
        <v>3</v>
      </c>
      <c r="OU27">
        <f t="shared" si="87"/>
        <v>7</v>
      </c>
      <c r="OW27" s="165">
        <v>24</v>
      </c>
      <c r="OX27" s="32">
        <v>1</v>
      </c>
      <c r="OY27" s="32">
        <f>AVERAGE(2,2,2,3,2,3,2)</f>
        <v>2.2857142857142856</v>
      </c>
      <c r="OZ27" s="32">
        <v>1</v>
      </c>
      <c r="PA27" s="32">
        <v>0</v>
      </c>
      <c r="PB27" s="33">
        <f t="shared" si="88"/>
        <v>4.2857142857142856</v>
      </c>
      <c r="PC27" s="32">
        <f>MEDIAN(2,2,2,3,2,3,2)</f>
        <v>2</v>
      </c>
      <c r="PD27">
        <f t="shared" si="89"/>
        <v>4</v>
      </c>
      <c r="PF27" s="165">
        <v>24</v>
      </c>
      <c r="PG27" s="32">
        <v>1</v>
      </c>
      <c r="PH27" s="32">
        <f>AVERAGE(2,2,3,3,2,3,2,2,3)</f>
        <v>2.4444444444444446</v>
      </c>
      <c r="PI27" s="32">
        <v>1</v>
      </c>
      <c r="PJ27" s="32">
        <v>1</v>
      </c>
      <c r="PK27" s="33">
        <f t="shared" si="90"/>
        <v>5.4444444444444446</v>
      </c>
      <c r="PL27" s="32">
        <f>MEDIAN(2,2,3,3,2,3,2,2,3)</f>
        <v>2</v>
      </c>
      <c r="PM27">
        <f t="shared" si="91"/>
        <v>5</v>
      </c>
      <c r="PO27" s="165">
        <v>24</v>
      </c>
      <c r="PP27" s="32">
        <v>0</v>
      </c>
      <c r="PQ27" s="32">
        <f>MEDIAN(2,2,2,2,2,2,2,2,3)</f>
        <v>2</v>
      </c>
      <c r="PR27" s="32">
        <v>2</v>
      </c>
      <c r="PS27" s="32">
        <v>1</v>
      </c>
      <c r="PT27" s="33">
        <f t="shared" si="92"/>
        <v>5</v>
      </c>
      <c r="PV27" s="165">
        <v>24</v>
      </c>
      <c r="PW27" s="32">
        <v>1</v>
      </c>
      <c r="PX27" s="32">
        <f>MEDIAN(3,3,3,2,3,3,2,3,3,2)</f>
        <v>3</v>
      </c>
      <c r="PY27" s="32">
        <v>2</v>
      </c>
      <c r="PZ27" s="32">
        <v>1</v>
      </c>
      <c r="QA27" s="33">
        <f t="shared" si="93"/>
        <v>7</v>
      </c>
      <c r="QB27" s="32">
        <f>MEDIAN(3,3,3,2,3,3,2,3,3,2)</f>
        <v>3</v>
      </c>
      <c r="QC27">
        <f t="shared" si="94"/>
        <v>7</v>
      </c>
      <c r="QE27" s="165">
        <v>24</v>
      </c>
      <c r="QF27" s="32">
        <v>0</v>
      </c>
      <c r="QG27" s="32">
        <f>MEDIAN(3,3,3,3,2)</f>
        <v>3</v>
      </c>
      <c r="QH27" s="32">
        <v>0</v>
      </c>
      <c r="QI27" s="32">
        <v>1</v>
      </c>
      <c r="QJ27" s="33">
        <f t="shared" si="95"/>
        <v>4</v>
      </c>
      <c r="QK27" s="32">
        <f>MEDIAN(3,3,3,3,2)</f>
        <v>3</v>
      </c>
      <c r="QL27">
        <f t="shared" si="96"/>
        <v>4</v>
      </c>
      <c r="QN27" s="165">
        <v>24</v>
      </c>
      <c r="QO27" s="32">
        <v>2</v>
      </c>
      <c r="QP27" s="32">
        <f>MEDIAN(1,2,2,2,2,2,2,2,2,2,3)</f>
        <v>2</v>
      </c>
      <c r="QQ27" s="32">
        <v>3</v>
      </c>
      <c r="QR27" s="32">
        <v>3</v>
      </c>
      <c r="QS27" s="33">
        <f t="shared" si="97"/>
        <v>10</v>
      </c>
      <c r="QT27" s="32">
        <f>MEDIAN(1,2,2,2,2,2,2,2,2,2,3)</f>
        <v>2</v>
      </c>
      <c r="QU27">
        <f t="shared" si="98"/>
        <v>10</v>
      </c>
      <c r="QW27" s="165">
        <v>24</v>
      </c>
      <c r="QX27" s="32">
        <v>2</v>
      </c>
      <c r="QY27" s="32">
        <f>AVERAGE(3,1,3,3,2)</f>
        <v>2.4</v>
      </c>
      <c r="QZ27" s="32">
        <v>3</v>
      </c>
      <c r="RA27" s="32">
        <v>1</v>
      </c>
      <c r="RB27" s="33">
        <f t="shared" si="99"/>
        <v>8.4</v>
      </c>
      <c r="RC27" s="32">
        <f>MEDIAN(3,1,3,3,2)</f>
        <v>3</v>
      </c>
      <c r="RD27">
        <f t="shared" si="100"/>
        <v>9</v>
      </c>
      <c r="RF27" s="165">
        <v>24</v>
      </c>
      <c r="RG27" s="32">
        <v>1</v>
      </c>
      <c r="RH27" s="32">
        <f>AVERAGE(3,3,2,2,3,3,3,3,3,3,3,3,3,2,3)</f>
        <v>2.8</v>
      </c>
      <c r="RI27" s="32">
        <v>3</v>
      </c>
      <c r="RJ27" s="32">
        <v>1</v>
      </c>
      <c r="RK27" s="33">
        <f t="shared" si="101"/>
        <v>7.8</v>
      </c>
      <c r="RL27" s="32">
        <f>MEDIAN(3,3,2,2,3,3,3,3,3,3,3,3,3,2,3)</f>
        <v>3</v>
      </c>
      <c r="RM27">
        <f t="shared" si="102"/>
        <v>8</v>
      </c>
      <c r="RO27" s="165">
        <v>24</v>
      </c>
      <c r="RP27" s="32">
        <v>1</v>
      </c>
      <c r="RQ27" s="32">
        <f>AVERAGE(2,3,3,3,3,3,3,3)</f>
        <v>2.875</v>
      </c>
      <c r="RR27" s="32">
        <v>1</v>
      </c>
      <c r="RS27" s="32">
        <v>2</v>
      </c>
      <c r="RT27" s="33">
        <f t="shared" si="103"/>
        <v>6.875</v>
      </c>
      <c r="RU27" s="32">
        <f>MEDIAN(2,3,3,3,3,3,3,3)</f>
        <v>3</v>
      </c>
      <c r="RV27">
        <f t="shared" si="104"/>
        <v>7</v>
      </c>
      <c r="RX27" s="165">
        <v>24</v>
      </c>
      <c r="RY27" s="32">
        <v>1</v>
      </c>
      <c r="RZ27" s="32">
        <f>AVERAGE(3,3,3,3,3)</f>
        <v>3</v>
      </c>
      <c r="SA27" s="32">
        <v>3</v>
      </c>
      <c r="SB27" s="32">
        <v>3</v>
      </c>
      <c r="SC27" s="33">
        <f t="shared" si="105"/>
        <v>10</v>
      </c>
      <c r="SD27" s="32">
        <f>MEDIAN(3,3,3,3,3)</f>
        <v>3</v>
      </c>
      <c r="SE27">
        <f t="shared" si="106"/>
        <v>10</v>
      </c>
      <c r="SG27" s="165">
        <v>24</v>
      </c>
      <c r="SH27" s="32">
        <v>2</v>
      </c>
      <c r="SI27" s="32">
        <f>MEDIAN(3,3,3,3,2,3,3,3,3,3)</f>
        <v>3</v>
      </c>
      <c r="SJ27" s="32">
        <v>3</v>
      </c>
      <c r="SK27" s="32">
        <v>3</v>
      </c>
      <c r="SL27" s="33">
        <f t="shared" si="107"/>
        <v>11</v>
      </c>
      <c r="SM27" s="32">
        <f>MEDIAN(3,3,3,3,2,3,3,3,3,3)</f>
        <v>3</v>
      </c>
      <c r="SN27">
        <f t="shared" si="108"/>
        <v>11</v>
      </c>
      <c r="SP27" s="165">
        <v>24</v>
      </c>
      <c r="SQ27" s="32">
        <v>0</v>
      </c>
      <c r="SR27" s="32">
        <f>MEDIAN(3,3,3,3,2,2,3,3,3,3,3,2,3)</f>
        <v>3</v>
      </c>
      <c r="SS27" s="32">
        <v>1</v>
      </c>
      <c r="ST27" s="32">
        <v>0</v>
      </c>
      <c r="SU27" s="33">
        <f t="shared" si="109"/>
        <v>4</v>
      </c>
      <c r="SV27" s="32">
        <f>MEDIAN(3,3,3,3,2,2,3,3,3,3,3,2,3)</f>
        <v>3</v>
      </c>
      <c r="SW27">
        <f t="shared" si="110"/>
        <v>4</v>
      </c>
      <c r="SY27" s="165">
        <v>24</v>
      </c>
      <c r="SZ27" s="32">
        <v>0</v>
      </c>
      <c r="TA27" s="32">
        <f>AVERAGE(3,2,2)</f>
        <v>2.3333333333333335</v>
      </c>
      <c r="TB27" s="32">
        <v>1</v>
      </c>
      <c r="TC27" s="32">
        <v>0</v>
      </c>
      <c r="TD27" s="33">
        <f t="shared" si="111"/>
        <v>3.3333333333333335</v>
      </c>
      <c r="TE27" s="32">
        <f>MEDIAN(3,2,2)</f>
        <v>2</v>
      </c>
      <c r="TF27">
        <f t="shared" si="112"/>
        <v>3</v>
      </c>
      <c r="TH27" s="165">
        <v>24</v>
      </c>
      <c r="TI27" s="32">
        <v>0</v>
      </c>
      <c r="TJ27" s="32">
        <f>MEDIAN(3,3,3,3,3,2,3)</f>
        <v>3</v>
      </c>
      <c r="TK27" s="32">
        <v>3</v>
      </c>
      <c r="TL27" s="32">
        <v>2</v>
      </c>
      <c r="TM27" s="33">
        <f t="shared" si="113"/>
        <v>8</v>
      </c>
      <c r="TN27" s="32">
        <f>MEDIAN(3,3,3,3,3,2,3)</f>
        <v>3</v>
      </c>
      <c r="TO27">
        <f t="shared" si="114"/>
        <v>8</v>
      </c>
      <c r="TQ27" s="165">
        <v>24</v>
      </c>
      <c r="TR27" s="32">
        <v>1</v>
      </c>
      <c r="TS27" s="32">
        <f>MEDIAN(2,1,1,2,2,1,2,2,2,2,2)</f>
        <v>2</v>
      </c>
      <c r="TT27" s="32">
        <v>3</v>
      </c>
      <c r="TU27" s="32">
        <v>1</v>
      </c>
      <c r="TV27" s="33">
        <f t="shared" si="115"/>
        <v>7</v>
      </c>
      <c r="TX27" s="165">
        <v>24</v>
      </c>
      <c r="TY27" s="32">
        <v>2</v>
      </c>
      <c r="TZ27" s="32">
        <f>MEDIAN(2,3,2,3,2,2)</f>
        <v>2</v>
      </c>
      <c r="UA27" s="32">
        <v>0</v>
      </c>
      <c r="UB27" s="32">
        <v>0</v>
      </c>
      <c r="UC27" s="33">
        <f t="shared" si="116"/>
        <v>4</v>
      </c>
      <c r="UD27" s="32">
        <f>MEDIAN(2,3,2,3,2,2)</f>
        <v>2</v>
      </c>
      <c r="UE27">
        <f t="shared" si="117"/>
        <v>4</v>
      </c>
      <c r="UG27" s="165">
        <v>24</v>
      </c>
      <c r="UH27" s="32">
        <v>0</v>
      </c>
      <c r="UI27" s="32">
        <f>MEDIAN(1,1,2,2,2,2)</f>
        <v>2</v>
      </c>
      <c r="UJ27" s="32">
        <v>2</v>
      </c>
      <c r="UK27" s="32">
        <v>2</v>
      </c>
      <c r="UL27" s="33">
        <f t="shared" si="118"/>
        <v>6</v>
      </c>
      <c r="UN27" s="165">
        <v>24</v>
      </c>
      <c r="UO27" s="32">
        <v>1</v>
      </c>
      <c r="UP27" s="32">
        <f>AVERAGE(3,3,3,3,2,3,3,3,2,3,2,3,3,2,2)</f>
        <v>2.6666666666666665</v>
      </c>
      <c r="UQ27" s="32">
        <v>3</v>
      </c>
      <c r="UR27" s="32">
        <v>1</v>
      </c>
      <c r="US27" s="33">
        <f t="shared" si="119"/>
        <v>7.6666666666666661</v>
      </c>
      <c r="UT27" s="32">
        <f>MEDIAN(3,3,3,3,2,3,3,3,2,3,2,3,3,2,2)</f>
        <v>3</v>
      </c>
      <c r="UU27">
        <f t="shared" si="120"/>
        <v>8</v>
      </c>
      <c r="UW27" s="165">
        <v>24</v>
      </c>
      <c r="UX27" s="32">
        <v>0</v>
      </c>
      <c r="UY27" s="32">
        <f>AVERAGE(3,3,3,3,3)</f>
        <v>3</v>
      </c>
      <c r="UZ27" s="32">
        <v>3</v>
      </c>
      <c r="VA27" s="32">
        <v>2</v>
      </c>
      <c r="VB27" s="33">
        <f t="shared" si="121"/>
        <v>8</v>
      </c>
      <c r="VC27" s="32">
        <f>MEDIAN(3,3,3,3,3)</f>
        <v>3</v>
      </c>
      <c r="VD27">
        <f t="shared" si="122"/>
        <v>8</v>
      </c>
      <c r="VF27" s="165">
        <v>24</v>
      </c>
      <c r="VG27" s="32">
        <v>2</v>
      </c>
      <c r="VH27" s="32">
        <f>AVERAGE(3,3,3,3,3,3,2,3,3,3)</f>
        <v>2.9</v>
      </c>
      <c r="VI27" s="32">
        <v>2</v>
      </c>
      <c r="VJ27" s="32">
        <v>2</v>
      </c>
      <c r="VK27" s="33">
        <f t="shared" si="123"/>
        <v>8.9</v>
      </c>
      <c r="VL27" s="32">
        <f>MEDIAN(3,3,3,3,3,3,2,3,3,3)</f>
        <v>3</v>
      </c>
      <c r="VM27">
        <f t="shared" si="124"/>
        <v>9</v>
      </c>
      <c r="VO27" s="165">
        <v>24</v>
      </c>
      <c r="VP27" s="32">
        <v>1</v>
      </c>
      <c r="VQ27" s="32">
        <f>AVERAGE(2,1)</f>
        <v>1.5</v>
      </c>
      <c r="VR27" s="32">
        <v>1</v>
      </c>
      <c r="VS27" s="32">
        <v>1</v>
      </c>
      <c r="VT27" s="33">
        <f t="shared" si="125"/>
        <v>4.5</v>
      </c>
      <c r="VU27" s="32">
        <f>MEDIAN(2,1)</f>
        <v>1.5</v>
      </c>
      <c r="VV27">
        <f t="shared" si="126"/>
        <v>4.5</v>
      </c>
    </row>
    <row r="28" spans="2:594" ht="15" thickBot="1" x14ac:dyDescent="0.4">
      <c r="B28" s="191">
        <v>25</v>
      </c>
      <c r="C28" s="53">
        <v>1</v>
      </c>
      <c r="D28" s="202">
        <f>AVERAGE(2,2,2,2,2,2)</f>
        <v>2</v>
      </c>
      <c r="E28" s="53">
        <v>2</v>
      </c>
      <c r="F28" s="53">
        <v>1</v>
      </c>
      <c r="G28" s="71">
        <f t="shared" si="0"/>
        <v>6</v>
      </c>
      <c r="H28" s="202">
        <f>MEDIAN(2,2,2,2,2,2)</f>
        <v>2</v>
      </c>
      <c r="I28" s="75">
        <f>SUM(C28,E28:F28,H28)</f>
        <v>6</v>
      </c>
      <c r="K28" s="191">
        <v>25</v>
      </c>
      <c r="L28" s="53">
        <v>0</v>
      </c>
      <c r="M28" s="202">
        <f>AVERAGE(3,2)</f>
        <v>2.5</v>
      </c>
      <c r="N28" s="53">
        <v>0</v>
      </c>
      <c r="O28" s="202">
        <v>1</v>
      </c>
      <c r="P28" s="208">
        <f t="shared" si="2"/>
        <v>3.5</v>
      </c>
      <c r="Q28" s="202">
        <f>MEDIAN(3,2)</f>
        <v>2.5</v>
      </c>
      <c r="R28" s="75">
        <f t="shared" si="3"/>
        <v>3.5</v>
      </c>
      <c r="T28" s="191">
        <v>25</v>
      </c>
      <c r="U28" s="53">
        <v>1</v>
      </c>
      <c r="V28" s="53">
        <f>AVERAGE(3,3,1,1,2,3,1,2,2,2,2,2,1)</f>
        <v>1.9230769230769231</v>
      </c>
      <c r="W28" s="53">
        <v>1</v>
      </c>
      <c r="X28" s="53">
        <v>1</v>
      </c>
      <c r="Y28" s="53">
        <f>MEDIAN(3,3,1,1,2,3,1,2,2,2,2,2,1)</f>
        <v>2</v>
      </c>
      <c r="Z28" s="18">
        <f t="shared" si="4"/>
        <v>5</v>
      </c>
      <c r="AB28" s="191">
        <v>25</v>
      </c>
      <c r="AC28" s="53">
        <v>2</v>
      </c>
      <c r="AD28" s="53">
        <f>AVERAGE(2,2,3,3,2,3,2,2)</f>
        <v>2.375</v>
      </c>
      <c r="AE28" s="53">
        <v>1</v>
      </c>
      <c r="AF28" s="53">
        <v>2</v>
      </c>
      <c r="AG28" s="53">
        <f>MEDIAN(2,2,3,3,2,3,2,2)</f>
        <v>2</v>
      </c>
      <c r="AH28" s="18">
        <f t="shared" si="5"/>
        <v>7</v>
      </c>
      <c r="AJ28" s="191">
        <v>25</v>
      </c>
      <c r="AK28" s="53">
        <v>0</v>
      </c>
      <c r="AL28" s="53">
        <f>AVERAGE(3,3,2)</f>
        <v>2.6666666666666665</v>
      </c>
      <c r="AM28" s="53">
        <v>0</v>
      </c>
      <c r="AN28" s="53">
        <v>1</v>
      </c>
      <c r="AO28" s="71">
        <f t="shared" si="6"/>
        <v>3.6666666666666665</v>
      </c>
      <c r="AP28" s="53">
        <f>MEDIAN(3,3,2)</f>
        <v>3</v>
      </c>
      <c r="AQ28" s="75">
        <f t="shared" si="7"/>
        <v>4</v>
      </c>
      <c r="AS28" s="191">
        <v>25</v>
      </c>
      <c r="AT28" s="53">
        <v>1</v>
      </c>
      <c r="AU28" s="53">
        <f>AVERAGE(2,2,2,3)</f>
        <v>2.25</v>
      </c>
      <c r="AV28" s="53">
        <v>3</v>
      </c>
      <c r="AW28" s="53">
        <v>1</v>
      </c>
      <c r="AX28" s="71">
        <f t="shared" si="8"/>
        <v>7.25</v>
      </c>
      <c r="AY28" s="53">
        <f>MEDIAN(2,2,2,3)</f>
        <v>2</v>
      </c>
      <c r="AZ28" s="75">
        <f t="shared" si="9"/>
        <v>7</v>
      </c>
      <c r="BB28" s="191">
        <v>25</v>
      </c>
      <c r="BC28" s="53">
        <v>0</v>
      </c>
      <c r="BD28" s="53">
        <f>MEDIAN(2,3,2,2,2,2)</f>
        <v>2</v>
      </c>
      <c r="BE28" s="53">
        <v>2</v>
      </c>
      <c r="BF28" s="53">
        <v>1</v>
      </c>
      <c r="BG28" s="71">
        <f t="shared" si="10"/>
        <v>5</v>
      </c>
      <c r="BH28" s="53">
        <f>MEDIAN(2,3,2,2,2,2)</f>
        <v>2</v>
      </c>
      <c r="BI28" s="75">
        <f t="shared" si="11"/>
        <v>5</v>
      </c>
      <c r="BK28" s="191">
        <v>25</v>
      </c>
      <c r="BL28" s="53">
        <v>1</v>
      </c>
      <c r="BM28" s="202">
        <f>MEDIAN(3,3,3,3,2,2,3,2,2,3)</f>
        <v>3</v>
      </c>
      <c r="BN28" s="53">
        <v>2</v>
      </c>
      <c r="BO28" s="53">
        <v>0</v>
      </c>
      <c r="BP28" s="71">
        <f t="shared" si="12"/>
        <v>6</v>
      </c>
      <c r="BQ28" s="202">
        <f>MEDIAN(3,3,3,3,2,2,3,2,2,3)</f>
        <v>3</v>
      </c>
      <c r="BR28" s="75">
        <f t="shared" si="13"/>
        <v>6</v>
      </c>
      <c r="BT28" s="191">
        <v>25</v>
      </c>
      <c r="BU28" s="53">
        <v>2</v>
      </c>
      <c r="BV28" s="53">
        <f>MEDIAN(3,3,3,3,3,2,2)</f>
        <v>3</v>
      </c>
      <c r="BW28" s="53">
        <v>1</v>
      </c>
      <c r="BX28" s="53">
        <v>1</v>
      </c>
      <c r="BY28" s="71">
        <f t="shared" si="14"/>
        <v>7</v>
      </c>
      <c r="CB28" s="191">
        <v>25</v>
      </c>
      <c r="CC28" s="53">
        <v>2</v>
      </c>
      <c r="CD28" s="53">
        <f>MEDIAN(3,2,1,2,2,2)</f>
        <v>2</v>
      </c>
      <c r="CE28" s="53">
        <v>2</v>
      </c>
      <c r="CF28" s="53">
        <v>1</v>
      </c>
      <c r="CG28" s="71">
        <f t="shared" si="15"/>
        <v>7</v>
      </c>
      <c r="CJ28" s="191">
        <v>25</v>
      </c>
      <c r="CK28" s="53">
        <v>0</v>
      </c>
      <c r="CL28" s="53">
        <f>MEDIAN(3,2,3,3,3,3,2,2,3)</f>
        <v>3</v>
      </c>
      <c r="CM28" s="53">
        <v>3</v>
      </c>
      <c r="CN28" s="53">
        <v>2</v>
      </c>
      <c r="CO28" s="71">
        <f t="shared" si="16"/>
        <v>8</v>
      </c>
      <c r="CP28" s="53">
        <f>MEDIAN(3,2,3,3,3,3,2,2,3)</f>
        <v>3</v>
      </c>
      <c r="CQ28" s="75">
        <f t="shared" si="17"/>
        <v>8</v>
      </c>
      <c r="CS28" s="191">
        <v>25</v>
      </c>
      <c r="CT28" s="53">
        <v>1</v>
      </c>
      <c r="CU28" s="53">
        <f>MEDIAN(3,2,2,1,2,2,2,2,2,3,3,2)</f>
        <v>2</v>
      </c>
      <c r="CV28" s="53">
        <v>2</v>
      </c>
      <c r="CW28" s="53">
        <v>1</v>
      </c>
      <c r="CX28" s="71">
        <f t="shared" si="18"/>
        <v>6</v>
      </c>
      <c r="CY28" s="53">
        <f>MEDIAN(3,2,2,1,2,2,2,2,2,3,3,2)</f>
        <v>2</v>
      </c>
      <c r="CZ28" s="75">
        <f t="shared" si="19"/>
        <v>6</v>
      </c>
      <c r="DB28" s="191">
        <v>25</v>
      </c>
      <c r="DC28" s="53">
        <v>1</v>
      </c>
      <c r="DD28" s="202">
        <f>AVERAGE(2,2,2,3,3,3)</f>
        <v>2.5</v>
      </c>
      <c r="DE28" s="53">
        <v>2</v>
      </c>
      <c r="DF28" s="53">
        <v>0</v>
      </c>
      <c r="DG28" s="71">
        <f t="shared" si="20"/>
        <v>5.5</v>
      </c>
      <c r="DH28" s="202">
        <f>MEDIAN(2,2,2,3,3,3)</f>
        <v>2.5</v>
      </c>
      <c r="DI28" s="75">
        <f t="shared" si="21"/>
        <v>5.5</v>
      </c>
      <c r="DK28" s="191">
        <v>25</v>
      </c>
      <c r="DL28" s="53">
        <v>0</v>
      </c>
      <c r="DM28" s="202">
        <f>AVERAGE(2,3,2,2,2)</f>
        <v>2.2000000000000002</v>
      </c>
      <c r="DN28" s="53">
        <v>3</v>
      </c>
      <c r="DO28" s="53">
        <v>3</v>
      </c>
      <c r="DP28" s="71">
        <f t="shared" si="22"/>
        <v>8.1999999999999993</v>
      </c>
      <c r="DQ28" s="202">
        <f>MEDIAN(2,3,2,2,2)</f>
        <v>2</v>
      </c>
      <c r="DR28" s="75">
        <f t="shared" si="23"/>
        <v>8</v>
      </c>
      <c r="DT28" s="191">
        <v>25</v>
      </c>
      <c r="DU28" s="53">
        <v>0</v>
      </c>
      <c r="DV28" s="202">
        <f>AVERAGE(2,2,2,2,2,2,1,3,2,2,2,2,2)</f>
        <v>2</v>
      </c>
      <c r="DW28" s="53">
        <v>3</v>
      </c>
      <c r="DX28" s="53">
        <v>1</v>
      </c>
      <c r="DY28" s="71">
        <f t="shared" si="24"/>
        <v>6</v>
      </c>
      <c r="DZ28" s="202">
        <f>MEDIAN(2,2,2,2,2,2,1,3,2,2,2,2,2)</f>
        <v>2</v>
      </c>
      <c r="EA28" s="75">
        <f t="shared" si="25"/>
        <v>6</v>
      </c>
      <c r="EC28" s="191">
        <v>25</v>
      </c>
      <c r="ED28" s="53">
        <v>0</v>
      </c>
      <c r="EE28" s="202">
        <f>AVERAGE(3,2,3)</f>
        <v>2.6666666666666665</v>
      </c>
      <c r="EF28" s="53">
        <v>1</v>
      </c>
      <c r="EG28" s="53">
        <v>0</v>
      </c>
      <c r="EH28" s="71">
        <f t="shared" si="26"/>
        <v>3.6666666666666665</v>
      </c>
      <c r="EI28" s="202">
        <f>MEDIAN(3,2,3)</f>
        <v>3</v>
      </c>
      <c r="EJ28" s="75">
        <f t="shared" si="27"/>
        <v>4</v>
      </c>
      <c r="EL28" s="191">
        <v>25</v>
      </c>
      <c r="EM28" s="53">
        <v>2</v>
      </c>
      <c r="EN28" s="53">
        <f>AVERAGE(3,2)</f>
        <v>2.5</v>
      </c>
      <c r="EO28" s="53">
        <v>3</v>
      </c>
      <c r="EP28" s="53">
        <v>1</v>
      </c>
      <c r="EQ28" s="71">
        <f t="shared" si="28"/>
        <v>8.5</v>
      </c>
      <c r="ER28" s="203">
        <f>MEDIAN(3,2)</f>
        <v>2.5</v>
      </c>
      <c r="ES28">
        <f t="shared" si="29"/>
        <v>8.5</v>
      </c>
      <c r="EU28" s="191">
        <v>25</v>
      </c>
      <c r="EV28" s="53">
        <v>1</v>
      </c>
      <c r="EW28" s="53">
        <f>AVERAGE(2,2,2,2,2,3,2,2,2,2,2,2,2,3,3,3,2)</f>
        <v>2.2352941176470589</v>
      </c>
      <c r="EX28" s="53">
        <v>2</v>
      </c>
      <c r="EY28" s="53">
        <v>1</v>
      </c>
      <c r="EZ28" s="71">
        <f t="shared" si="30"/>
        <v>6.2352941176470589</v>
      </c>
      <c r="FA28" s="203">
        <f>MEDIAN(2,2,2,2,2,3,2,2,2,2,2,2,2,3,3,3,2)</f>
        <v>2</v>
      </c>
      <c r="FB28">
        <f t="shared" si="31"/>
        <v>6</v>
      </c>
      <c r="FD28" s="191">
        <v>25</v>
      </c>
      <c r="FE28" s="53">
        <v>1</v>
      </c>
      <c r="FF28" s="53">
        <f>AVERAGE(3,3,3,3,3,3,3)</f>
        <v>3</v>
      </c>
      <c r="FG28" s="53">
        <v>1</v>
      </c>
      <c r="FH28" s="53">
        <v>0</v>
      </c>
      <c r="FI28" s="71">
        <f t="shared" si="32"/>
        <v>5</v>
      </c>
      <c r="FJ28" s="203">
        <f>MEDIAN(3,3,3,3,3,3,3)</f>
        <v>3</v>
      </c>
      <c r="FK28">
        <f t="shared" si="33"/>
        <v>5</v>
      </c>
      <c r="FM28" s="191">
        <v>25</v>
      </c>
      <c r="FN28" s="53">
        <v>1</v>
      </c>
      <c r="FO28" s="53">
        <f>AVERAGE(3,3,3,3,3,3)</f>
        <v>3</v>
      </c>
      <c r="FP28" s="53">
        <v>1</v>
      </c>
      <c r="FQ28" s="53">
        <v>1</v>
      </c>
      <c r="FR28" s="71">
        <f t="shared" si="34"/>
        <v>6</v>
      </c>
      <c r="FS28" s="203">
        <f>MEDIAN(3,3,3,3,3,3)</f>
        <v>3</v>
      </c>
      <c r="FT28">
        <f t="shared" si="35"/>
        <v>6</v>
      </c>
      <c r="FV28" s="191">
        <v>25</v>
      </c>
      <c r="FW28" s="53">
        <v>0</v>
      </c>
      <c r="FX28" s="53">
        <f>MEDIAN(3,3,3,3,3,3,3,3,3,3,3,3,3,3,3,2,3,3)</f>
        <v>3</v>
      </c>
      <c r="FY28" s="53">
        <v>1</v>
      </c>
      <c r="FZ28" s="53">
        <v>1</v>
      </c>
      <c r="GA28" s="71">
        <f t="shared" si="36"/>
        <v>5</v>
      </c>
      <c r="GB28" s="53">
        <f>MEDIAN(3,3,3,3,3,3,3,3,3,3,3,3,3,3,3,2,3,3)</f>
        <v>3</v>
      </c>
      <c r="GC28">
        <f t="shared" si="37"/>
        <v>5</v>
      </c>
      <c r="GE28" s="191">
        <v>25</v>
      </c>
      <c r="GF28" s="53">
        <v>0</v>
      </c>
      <c r="GG28" s="53">
        <f>MEDIAN(3,3,3,3,3,3,3,3,3)</f>
        <v>3</v>
      </c>
      <c r="GH28" s="53">
        <v>0</v>
      </c>
      <c r="GI28" s="53">
        <v>0</v>
      </c>
      <c r="GJ28" s="18">
        <f t="shared" si="38"/>
        <v>3</v>
      </c>
      <c r="GK28" s="53">
        <f>MEDIAN(3,3,3,3,3,3,3,3,3)</f>
        <v>3</v>
      </c>
      <c r="GL28">
        <f t="shared" si="39"/>
        <v>3</v>
      </c>
      <c r="GN28" s="191">
        <v>25</v>
      </c>
      <c r="GO28" s="53">
        <v>2</v>
      </c>
      <c r="GP28" s="53">
        <f>AVERAGE(3,3,2,3,3)</f>
        <v>2.8</v>
      </c>
      <c r="GQ28" s="53">
        <v>3</v>
      </c>
      <c r="GR28" s="53">
        <v>1</v>
      </c>
      <c r="GS28" s="71">
        <f t="shared" si="40"/>
        <v>8.8000000000000007</v>
      </c>
      <c r="GT28" s="196">
        <f>MEDIAN(3,3,2,3,3)</f>
        <v>3</v>
      </c>
      <c r="GU28" s="32">
        <f t="shared" si="41"/>
        <v>9</v>
      </c>
      <c r="GW28" s="191">
        <v>25</v>
      </c>
      <c r="GX28" s="53">
        <v>1</v>
      </c>
      <c r="GY28" s="53">
        <f>AVERAGE(3,3,3,2,2,2,2)</f>
        <v>2.4285714285714284</v>
      </c>
      <c r="GZ28" s="53">
        <v>3</v>
      </c>
      <c r="HA28" s="53">
        <v>1</v>
      </c>
      <c r="HB28" s="71">
        <f t="shared" si="42"/>
        <v>7.4285714285714288</v>
      </c>
      <c r="HC28" s="196">
        <f>MEDIAN(3,3,3,2,2,2,2)</f>
        <v>2</v>
      </c>
      <c r="HD28">
        <f t="shared" si="43"/>
        <v>7</v>
      </c>
      <c r="HF28" s="191">
        <v>25</v>
      </c>
      <c r="HG28" s="53">
        <v>0</v>
      </c>
      <c r="HH28" s="53">
        <f>AVERAGE(3,3,3,3,3,3)</f>
        <v>3</v>
      </c>
      <c r="HI28" s="53">
        <v>3</v>
      </c>
      <c r="HJ28" s="53">
        <v>1</v>
      </c>
      <c r="HK28" s="71">
        <f t="shared" si="44"/>
        <v>7</v>
      </c>
      <c r="HL28" s="53">
        <f>MEDIAN(3,3,3,3,3,3)</f>
        <v>3</v>
      </c>
      <c r="HM28">
        <f t="shared" si="45"/>
        <v>7</v>
      </c>
      <c r="HO28" s="191">
        <v>25</v>
      </c>
      <c r="HP28" s="53">
        <v>1</v>
      </c>
      <c r="HQ28" s="53">
        <f>AVERAGE(2,3,2,2,2,2,1,2)</f>
        <v>2</v>
      </c>
      <c r="HR28" s="53">
        <v>2</v>
      </c>
      <c r="HS28" s="53">
        <v>2</v>
      </c>
      <c r="HT28" s="71">
        <f t="shared" si="46"/>
        <v>7</v>
      </c>
      <c r="HU28" s="53">
        <f>MEDIAN(2,3,2,2,2,2,1,2)</f>
        <v>2</v>
      </c>
      <c r="HV28">
        <f t="shared" si="47"/>
        <v>7</v>
      </c>
      <c r="HX28" s="191">
        <v>25</v>
      </c>
      <c r="HY28" s="53">
        <v>1</v>
      </c>
      <c r="HZ28" s="53">
        <f>MEDIAN(3,2,3,3,2,3,2,2,2,3,1,2,2,2,3)</f>
        <v>2</v>
      </c>
      <c r="IA28" s="53">
        <v>1</v>
      </c>
      <c r="IB28" s="53">
        <v>1</v>
      </c>
      <c r="IC28" s="71">
        <f>SUM(HY28:IB28)</f>
        <v>5</v>
      </c>
      <c r="ID28" s="53">
        <f>MEDIAN(3,2,3,3,2,3,2,2,2,3,1,2,2,2,3)</f>
        <v>2</v>
      </c>
      <c r="IE28">
        <f>SUM(HY28,IA28,IB28,ID28)</f>
        <v>5</v>
      </c>
      <c r="IG28" s="191">
        <v>25</v>
      </c>
      <c r="IH28" s="53">
        <v>1</v>
      </c>
      <c r="II28" s="53">
        <f>MEDIAN(3,3,3,3,2,3,3)</f>
        <v>3</v>
      </c>
      <c r="IJ28" s="53">
        <v>2</v>
      </c>
      <c r="IK28" s="53">
        <v>1</v>
      </c>
      <c r="IL28" s="71">
        <f t="shared" si="50"/>
        <v>7</v>
      </c>
      <c r="IM28" s="53">
        <f>MEDIAN(3,3,3,3,2,3,3)</f>
        <v>3</v>
      </c>
      <c r="IN28">
        <f t="shared" si="51"/>
        <v>7</v>
      </c>
      <c r="IP28" s="191">
        <v>25</v>
      </c>
      <c r="IQ28" s="53">
        <v>0</v>
      </c>
      <c r="IR28" s="53">
        <f>AVERAGE(3,3)</f>
        <v>3</v>
      </c>
      <c r="IS28" s="53">
        <v>1</v>
      </c>
      <c r="IT28" s="53">
        <v>0</v>
      </c>
      <c r="IU28" s="71">
        <f t="shared" si="52"/>
        <v>4</v>
      </c>
      <c r="IV28" s="53">
        <f>MEDIAN(3,3)</f>
        <v>3</v>
      </c>
      <c r="IW28">
        <f t="shared" si="53"/>
        <v>4</v>
      </c>
      <c r="IY28" s="191">
        <v>25</v>
      </c>
      <c r="IZ28" s="53">
        <v>1</v>
      </c>
      <c r="JA28" s="53">
        <f>AVERAGE(3,3,2,3,3,3,3,3,2,3,3)</f>
        <v>2.8181818181818183</v>
      </c>
      <c r="JB28" s="53">
        <v>2</v>
      </c>
      <c r="JC28" s="53">
        <v>2</v>
      </c>
      <c r="JD28" s="71">
        <f t="shared" si="54"/>
        <v>7.8181818181818183</v>
      </c>
      <c r="JE28" s="53">
        <f>MEDIAN(3,3,2,3,3,3,3,3,2,3,3)</f>
        <v>3</v>
      </c>
      <c r="JF28">
        <f t="shared" si="55"/>
        <v>8</v>
      </c>
      <c r="JH28" s="191">
        <v>25</v>
      </c>
      <c r="JI28" s="53">
        <v>0</v>
      </c>
      <c r="JJ28" s="53">
        <f>MEDIAN(3,3,3,3,3,3,3,3,3,3,3,3,3,3)</f>
        <v>3</v>
      </c>
      <c r="JK28" s="53">
        <v>3</v>
      </c>
      <c r="JL28" s="53">
        <v>2</v>
      </c>
      <c r="JM28" s="71">
        <f t="shared" si="56"/>
        <v>8</v>
      </c>
      <c r="JN28" s="53">
        <f>MEDIAN(3,3,3,3,3,3,3,3,3,3,3,3,3,3)</f>
        <v>3</v>
      </c>
      <c r="JO28">
        <f t="shared" si="57"/>
        <v>8</v>
      </c>
      <c r="JQ28" s="191">
        <v>25</v>
      </c>
      <c r="JR28" s="53">
        <v>1</v>
      </c>
      <c r="JS28" s="53">
        <f>MEDIAN(2,2,2,3,3)</f>
        <v>2</v>
      </c>
      <c r="JT28" s="53">
        <v>3</v>
      </c>
      <c r="JU28" s="53">
        <v>2</v>
      </c>
      <c r="JV28" s="71">
        <f t="shared" si="58"/>
        <v>8</v>
      </c>
      <c r="JW28" s="53">
        <f>MEDIAN(2,2,2,3,3)</f>
        <v>2</v>
      </c>
      <c r="JX28">
        <f t="shared" si="59"/>
        <v>8</v>
      </c>
      <c r="JZ28" s="191">
        <v>25</v>
      </c>
      <c r="KA28" s="53">
        <v>0</v>
      </c>
      <c r="KB28" s="53">
        <f>AVERAGE(3,3,3,3)</f>
        <v>3</v>
      </c>
      <c r="KC28" s="53">
        <v>1</v>
      </c>
      <c r="KD28" s="53">
        <v>1</v>
      </c>
      <c r="KE28" s="71">
        <f t="shared" si="60"/>
        <v>5</v>
      </c>
      <c r="KF28" s="53">
        <f>MEDIAN(3,3,3,3)</f>
        <v>3</v>
      </c>
      <c r="KG28">
        <f t="shared" si="61"/>
        <v>5</v>
      </c>
      <c r="KI28" s="191">
        <v>25</v>
      </c>
      <c r="KJ28" s="53">
        <v>1</v>
      </c>
      <c r="KK28" s="53">
        <f>AVERAGE(3,2,3,2,3,3,2,3,3,2,3,3,2)</f>
        <v>2.6153846153846154</v>
      </c>
      <c r="KL28" s="53">
        <v>3</v>
      </c>
      <c r="KM28" s="53">
        <v>1</v>
      </c>
      <c r="KN28" s="71">
        <f t="shared" si="62"/>
        <v>7.615384615384615</v>
      </c>
      <c r="KO28" s="53">
        <f>MEDIAN(3,2,3,2,3,3,2,3,3,2,3,3,2)</f>
        <v>3</v>
      </c>
      <c r="KP28">
        <f t="shared" si="63"/>
        <v>8</v>
      </c>
      <c r="KR28" s="191">
        <v>25</v>
      </c>
      <c r="KS28" s="53">
        <v>1</v>
      </c>
      <c r="KT28" s="53">
        <f>AVERAGE(3,2,3,3,2,3,2,3)</f>
        <v>2.625</v>
      </c>
      <c r="KU28" s="53" t="s">
        <v>31</v>
      </c>
      <c r="KV28" s="53">
        <v>2</v>
      </c>
      <c r="KW28" s="71">
        <f t="shared" si="64"/>
        <v>5.625</v>
      </c>
      <c r="KX28" s="53">
        <f>MEDIAN(3,2,3,3,2,3,2,3)</f>
        <v>3</v>
      </c>
      <c r="KY28">
        <f t="shared" si="65"/>
        <v>6</v>
      </c>
      <c r="KZ28">
        <f>KY28*(4/3)</f>
        <v>8</v>
      </c>
      <c r="LA28" s="191">
        <v>25</v>
      </c>
      <c r="LB28" s="53">
        <v>1</v>
      </c>
      <c r="LC28" s="53">
        <f>AVERAGE(2,2,1,1,2,2,2,2)</f>
        <v>1.75</v>
      </c>
      <c r="LD28" s="53">
        <v>3</v>
      </c>
      <c r="LE28" s="53">
        <v>2</v>
      </c>
      <c r="LF28" s="71">
        <f t="shared" si="66"/>
        <v>7.75</v>
      </c>
      <c r="LG28" s="53">
        <f>MEDIAN(2,2,1,1,2,2,2,2)</f>
        <v>2</v>
      </c>
      <c r="LH28">
        <f t="shared" si="67"/>
        <v>8</v>
      </c>
      <c r="LK28" s="191">
        <v>25</v>
      </c>
      <c r="LL28" s="53">
        <v>0</v>
      </c>
      <c r="LM28" s="53">
        <f>AVERAGE(3,3,3,3,3,3,3,3,3,3,3,3,3,3,3,3)</f>
        <v>3</v>
      </c>
      <c r="LN28" s="53">
        <v>2</v>
      </c>
      <c r="LO28" s="53">
        <v>1</v>
      </c>
      <c r="LP28" s="71">
        <f t="shared" si="68"/>
        <v>6</v>
      </c>
      <c r="LQ28" s="53">
        <f>MEDIAN(3,3,3,3,3,3,3,3,3,3,3,3,3,3,3,3)</f>
        <v>3</v>
      </c>
      <c r="LR28">
        <f t="shared" si="69"/>
        <v>6</v>
      </c>
      <c r="LT28" s="191">
        <v>25</v>
      </c>
      <c r="LU28" s="53">
        <v>0</v>
      </c>
      <c r="LV28" s="53">
        <f>AVERAGE(3,3,2,3,2,3,3,2,3,3)</f>
        <v>2.7</v>
      </c>
      <c r="LW28" s="53">
        <v>3</v>
      </c>
      <c r="LX28" s="53">
        <v>2</v>
      </c>
      <c r="LY28" s="71">
        <f t="shared" si="70"/>
        <v>7.7</v>
      </c>
      <c r="LZ28" s="53">
        <f>MEDIAN(3,3,2,3,2,3,3,2,3,3)</f>
        <v>3</v>
      </c>
      <c r="MA28">
        <f t="shared" si="71"/>
        <v>8</v>
      </c>
      <c r="MC28" s="191">
        <v>25</v>
      </c>
      <c r="MD28" s="53">
        <v>0</v>
      </c>
      <c r="ME28" s="53">
        <f>AVERAGE(3,2,3,3,3,3,3,3)</f>
        <v>2.875</v>
      </c>
      <c r="MF28" s="53">
        <v>3</v>
      </c>
      <c r="MG28" s="53">
        <v>1</v>
      </c>
      <c r="MH28" s="71">
        <f t="shared" si="72"/>
        <v>6.875</v>
      </c>
      <c r="MI28" s="53">
        <f>MEDIAN(3,2,3,3,3,3,3,3)</f>
        <v>3</v>
      </c>
      <c r="MJ28">
        <f t="shared" si="73"/>
        <v>7</v>
      </c>
      <c r="ML28" s="191">
        <v>25</v>
      </c>
      <c r="MM28" s="53">
        <v>2</v>
      </c>
      <c r="MN28" s="53">
        <f>AVERAGE(3,3,3,3,3,3,3,3,3,3,3,3,3,3,3,3,3,3,3,3,3,3,3,3,3,3,3,3,3,3,3,3,3,3,3)</f>
        <v>3</v>
      </c>
      <c r="MO28" s="53">
        <v>2</v>
      </c>
      <c r="MP28" s="53">
        <v>1</v>
      </c>
      <c r="MQ28" s="71">
        <f t="shared" si="74"/>
        <v>8</v>
      </c>
      <c r="MR28" s="53">
        <f>MEDIAN(3,3,3,3,3,3,3,3,3,3,3,3,3,3,3,3,3,3,3,3,3,3,3,3,3,3,3,3,3,3,3,3,3,3,3)</f>
        <v>3</v>
      </c>
      <c r="MS28">
        <f t="shared" si="75"/>
        <v>8</v>
      </c>
      <c r="MU28" s="191">
        <v>25</v>
      </c>
      <c r="MV28" s="53">
        <v>2</v>
      </c>
      <c r="MW28" s="53">
        <f>MEDIAN(3,3,3,3,3,3,3)</f>
        <v>3</v>
      </c>
      <c r="MX28" s="53">
        <v>1</v>
      </c>
      <c r="MY28" s="53">
        <v>1</v>
      </c>
      <c r="MZ28" s="71">
        <f t="shared" si="76"/>
        <v>7</v>
      </c>
      <c r="NA28" s="53">
        <f>MEDIAN(3,3,3,3,3,3,3)</f>
        <v>3</v>
      </c>
      <c r="NB28">
        <f t="shared" si="77"/>
        <v>7</v>
      </c>
      <c r="ND28" s="191">
        <v>25</v>
      </c>
      <c r="NE28" s="53">
        <v>2</v>
      </c>
      <c r="NF28" s="53">
        <f>MEDIAN(3,3,3,2,3,3,3,3)</f>
        <v>3</v>
      </c>
      <c r="NG28" s="53">
        <v>3</v>
      </c>
      <c r="NH28" s="53">
        <v>1</v>
      </c>
      <c r="NI28" s="71">
        <f t="shared" si="78"/>
        <v>9</v>
      </c>
      <c r="NJ28" s="53">
        <f>MEDIAN(3,3,3,2,3,3,3,3)</f>
        <v>3</v>
      </c>
      <c r="NK28">
        <f t="shared" si="79"/>
        <v>9</v>
      </c>
      <c r="NM28" s="191">
        <v>25</v>
      </c>
      <c r="NN28" s="53">
        <v>0</v>
      </c>
      <c r="NO28" s="53">
        <f>AVERAGE(3,3,3,3,3,3,3)</f>
        <v>3</v>
      </c>
      <c r="NP28" s="53">
        <v>1</v>
      </c>
      <c r="NQ28" s="53">
        <v>0</v>
      </c>
      <c r="NR28" s="71">
        <f t="shared" si="80"/>
        <v>4</v>
      </c>
      <c r="NS28" s="53">
        <f>MEDIAN(3,3,3,3,3,3,3)</f>
        <v>3</v>
      </c>
      <c r="NT28">
        <f t="shared" si="81"/>
        <v>4</v>
      </c>
      <c r="NV28" s="191">
        <v>25</v>
      </c>
      <c r="NW28" s="53">
        <v>2</v>
      </c>
      <c r="NX28" s="53">
        <f>AVERAGE(3,3,3,2,3,3,3,3,3)</f>
        <v>2.8888888888888888</v>
      </c>
      <c r="NY28" s="53">
        <v>3</v>
      </c>
      <c r="NZ28" s="53">
        <v>2</v>
      </c>
      <c r="OA28" s="71">
        <f t="shared" si="82"/>
        <v>9.8888888888888893</v>
      </c>
      <c r="OB28" s="53">
        <f>MEDIAN(3,3,3,2,3,3,3,3,3)</f>
        <v>3</v>
      </c>
      <c r="OC28">
        <f t="shared" si="83"/>
        <v>10</v>
      </c>
      <c r="OE28" s="191">
        <v>25</v>
      </c>
      <c r="OF28" s="53">
        <v>1</v>
      </c>
      <c r="OG28" s="53">
        <f>MEDIAN(3,3,3,3,3,3,3,3,3,3,3,3,3,2)</f>
        <v>3</v>
      </c>
      <c r="OH28" s="53">
        <v>3</v>
      </c>
      <c r="OI28" s="53">
        <v>2</v>
      </c>
      <c r="OJ28" s="71">
        <f t="shared" si="84"/>
        <v>9</v>
      </c>
      <c r="OK28" s="53">
        <f>MEDIAN(3,3,3,3,3,3,3,3,3,3,3,3,3,2)</f>
        <v>3</v>
      </c>
      <c r="OL28">
        <f t="shared" si="85"/>
        <v>9</v>
      </c>
      <c r="ON28" s="191">
        <v>25</v>
      </c>
      <c r="OO28" s="53">
        <v>1</v>
      </c>
      <c r="OP28" s="53">
        <f>MEDIAN(3,3,3,3)</f>
        <v>3</v>
      </c>
      <c r="OQ28" s="53">
        <v>1</v>
      </c>
      <c r="OR28" s="53">
        <v>0</v>
      </c>
      <c r="OS28" s="71">
        <f t="shared" si="86"/>
        <v>5</v>
      </c>
      <c r="OT28" s="53">
        <f>MEDIAN(3,3,3,3)</f>
        <v>3</v>
      </c>
      <c r="OU28">
        <f t="shared" si="87"/>
        <v>5</v>
      </c>
      <c r="OW28" s="191">
        <v>25</v>
      </c>
      <c r="OX28" s="53">
        <v>0</v>
      </c>
      <c r="OY28" s="53">
        <f>AVERAGE(2,2,3,3,2,2)</f>
        <v>2.3333333333333335</v>
      </c>
      <c r="OZ28" s="53">
        <v>3</v>
      </c>
      <c r="PA28" s="53">
        <v>1</v>
      </c>
      <c r="PB28" s="71">
        <f t="shared" si="88"/>
        <v>6.3333333333333339</v>
      </c>
      <c r="PC28" s="53">
        <f>MEDIAN(2,2,3,3,2,2)</f>
        <v>2</v>
      </c>
      <c r="PD28">
        <f t="shared" si="89"/>
        <v>6</v>
      </c>
      <c r="PF28" s="191">
        <v>25</v>
      </c>
      <c r="PG28" s="53">
        <v>1</v>
      </c>
      <c r="PH28" s="53">
        <f>AVERAGE(2,2,3,1,1,1,2)</f>
        <v>1.7142857142857142</v>
      </c>
      <c r="PI28" s="53">
        <v>1</v>
      </c>
      <c r="PJ28" s="53">
        <v>0</v>
      </c>
      <c r="PK28" s="71">
        <f t="shared" si="90"/>
        <v>3.7142857142857144</v>
      </c>
      <c r="PL28" s="53">
        <f>MEDIAN(2,2,3,1,1,1,2)</f>
        <v>2</v>
      </c>
      <c r="PM28">
        <f t="shared" si="91"/>
        <v>4</v>
      </c>
      <c r="PO28" s="191">
        <v>25</v>
      </c>
      <c r="PP28" s="53">
        <v>0</v>
      </c>
      <c r="PQ28" s="53">
        <f>MEDIAN(2,2,2,3,3,2)</f>
        <v>2</v>
      </c>
      <c r="PR28" s="53">
        <v>2</v>
      </c>
      <c r="PS28" s="53">
        <v>1</v>
      </c>
      <c r="PT28" s="71">
        <f t="shared" si="92"/>
        <v>5</v>
      </c>
      <c r="PV28" s="191">
        <v>25</v>
      </c>
      <c r="PW28" s="53">
        <v>1</v>
      </c>
      <c r="PX28" s="53">
        <f>MEDIAN(3,3,2,3,2,2,3)</f>
        <v>3</v>
      </c>
      <c r="PY28" s="53">
        <v>3</v>
      </c>
      <c r="PZ28" s="53">
        <v>1</v>
      </c>
      <c r="QA28" s="71">
        <f t="shared" si="93"/>
        <v>8</v>
      </c>
      <c r="QB28" s="53">
        <f>MEDIAN(3,3,2,3,2,2,3)</f>
        <v>3</v>
      </c>
      <c r="QC28">
        <f t="shared" si="94"/>
        <v>8</v>
      </c>
      <c r="QE28" s="191">
        <v>25</v>
      </c>
      <c r="QF28" s="53">
        <v>0</v>
      </c>
      <c r="QG28" s="53">
        <f>MEDIAN(3,3,2,3,2)</f>
        <v>3</v>
      </c>
      <c r="QH28" s="53">
        <v>0</v>
      </c>
      <c r="QI28" s="53">
        <v>1</v>
      </c>
      <c r="QJ28" s="71">
        <f t="shared" si="95"/>
        <v>4</v>
      </c>
      <c r="QK28" s="53">
        <f>MEDIAN(3,3,2,3,2)</f>
        <v>3</v>
      </c>
      <c r="QL28">
        <f t="shared" si="96"/>
        <v>4</v>
      </c>
      <c r="QN28" s="191">
        <v>25</v>
      </c>
      <c r="QO28" s="53">
        <v>2</v>
      </c>
      <c r="QP28" s="53">
        <f>MEDIAN(3,2,3,3,2,3,3,2,2)</f>
        <v>3</v>
      </c>
      <c r="QQ28" s="53">
        <v>3</v>
      </c>
      <c r="QR28" s="53">
        <v>2</v>
      </c>
      <c r="QS28" s="71">
        <f t="shared" si="97"/>
        <v>10</v>
      </c>
      <c r="QT28" s="53">
        <f>MEDIAN(3,2,3,3,2,3,3,2,2)</f>
        <v>3</v>
      </c>
      <c r="QU28">
        <f t="shared" si="98"/>
        <v>10</v>
      </c>
      <c r="QW28" s="191">
        <v>25</v>
      </c>
      <c r="QX28" s="53">
        <v>1</v>
      </c>
      <c r="QY28" s="53">
        <f>AVERAGE(3,3,3,3,2,2,2,3,3,2)</f>
        <v>2.6</v>
      </c>
      <c r="QZ28" s="53">
        <v>3</v>
      </c>
      <c r="RA28" s="53">
        <v>1</v>
      </c>
      <c r="RB28" s="71">
        <f t="shared" si="99"/>
        <v>7.6</v>
      </c>
      <c r="RC28" s="53">
        <f>MEDIAN(3,3,3,3,2,2,2,3,3,2)</f>
        <v>3</v>
      </c>
      <c r="RD28">
        <f t="shared" si="100"/>
        <v>8</v>
      </c>
      <c r="RF28" s="191">
        <v>25</v>
      </c>
      <c r="RG28" s="53">
        <v>1</v>
      </c>
      <c r="RH28" s="53">
        <f>AVERAGE(3,3,3,3,3,3,3,2,2,2,2,3,3,2,3,3,2,3,2)</f>
        <v>2.6315789473684212</v>
      </c>
      <c r="RI28" s="53">
        <v>2</v>
      </c>
      <c r="RJ28" s="53">
        <v>1</v>
      </c>
      <c r="RK28" s="71">
        <f t="shared" si="101"/>
        <v>6.6315789473684212</v>
      </c>
      <c r="RL28" s="53">
        <f>MEDIAN(3,3,3,3,3,3,3,2,2,2,2,3,3,2,3,3,2,3,2)</f>
        <v>3</v>
      </c>
      <c r="RM28">
        <f t="shared" si="102"/>
        <v>7</v>
      </c>
      <c r="RO28" s="191">
        <v>25</v>
      </c>
      <c r="RP28" s="53">
        <v>2</v>
      </c>
      <c r="RQ28" s="53">
        <f>AVERAGE(3,3,3,3,3)</f>
        <v>3</v>
      </c>
      <c r="RR28" s="53">
        <v>3</v>
      </c>
      <c r="RS28" s="53">
        <v>3</v>
      </c>
      <c r="RT28" s="71">
        <f t="shared" si="103"/>
        <v>11</v>
      </c>
      <c r="RU28" s="53">
        <f>MEDIAN(3,3,3,3,3)</f>
        <v>3</v>
      </c>
      <c r="RV28">
        <f t="shared" si="104"/>
        <v>11</v>
      </c>
      <c r="RX28" s="191">
        <v>25</v>
      </c>
      <c r="RY28" s="53">
        <v>1</v>
      </c>
      <c r="RZ28" s="53">
        <f>AVERAGE(3,3,3,3,3,3,3,3)</f>
        <v>3</v>
      </c>
      <c r="SA28" s="53">
        <v>3</v>
      </c>
      <c r="SB28" s="53">
        <v>3</v>
      </c>
      <c r="SC28" s="71">
        <f t="shared" si="105"/>
        <v>10</v>
      </c>
      <c r="SD28" s="53">
        <f>MEDIAN(3,3,3,3,3,3,3,3)</f>
        <v>3</v>
      </c>
      <c r="SE28">
        <f t="shared" si="106"/>
        <v>10</v>
      </c>
      <c r="SG28" s="191">
        <v>25</v>
      </c>
      <c r="SH28" s="53">
        <v>1</v>
      </c>
      <c r="SI28" s="53">
        <f>MEDIAN(3,3,3,3,3,3,3,3,3,3)</f>
        <v>3</v>
      </c>
      <c r="SJ28" s="53">
        <v>3</v>
      </c>
      <c r="SK28" s="53">
        <v>1</v>
      </c>
      <c r="SL28" s="71">
        <f t="shared" si="107"/>
        <v>8</v>
      </c>
      <c r="SM28" s="53">
        <f>MEDIAN(3,3,3,3,3,3,3,3,3,3)</f>
        <v>3</v>
      </c>
      <c r="SN28">
        <f t="shared" si="108"/>
        <v>8</v>
      </c>
      <c r="SP28" s="191">
        <v>25</v>
      </c>
      <c r="SQ28" s="53">
        <v>2</v>
      </c>
      <c r="SR28" s="53">
        <f>MEDIAN(3,3,3,3,3,2,2,2,3,2,2,2,2)</f>
        <v>2</v>
      </c>
      <c r="SS28" s="53">
        <v>2</v>
      </c>
      <c r="ST28" s="53">
        <v>1</v>
      </c>
      <c r="SU28" s="71">
        <f t="shared" si="109"/>
        <v>7</v>
      </c>
      <c r="SV28" s="53">
        <f>MEDIAN(3,3,3,3,3,2,2,2,3,2,2,2,2)</f>
        <v>2</v>
      </c>
      <c r="SW28">
        <f t="shared" si="110"/>
        <v>7</v>
      </c>
      <c r="SY28" s="191">
        <v>25</v>
      </c>
      <c r="SZ28" s="53">
        <v>0</v>
      </c>
      <c r="TA28" s="53">
        <f>AVERAGE(3,2)</f>
        <v>2.5</v>
      </c>
      <c r="TB28" s="53">
        <v>1</v>
      </c>
      <c r="TC28" s="53">
        <v>1</v>
      </c>
      <c r="TD28" s="71">
        <f t="shared" si="111"/>
        <v>4.5</v>
      </c>
      <c r="TE28" s="53">
        <f>MEDIAN(3,2)</f>
        <v>2.5</v>
      </c>
      <c r="TF28">
        <f t="shared" si="112"/>
        <v>4.5</v>
      </c>
      <c r="TH28" s="191">
        <v>25</v>
      </c>
      <c r="TI28" s="53">
        <v>0</v>
      </c>
      <c r="TJ28" s="53">
        <f>MEDIAN(3,3,3,3,2,3,3,3,3)</f>
        <v>3</v>
      </c>
      <c r="TK28" s="53">
        <v>3</v>
      </c>
      <c r="TL28" s="53">
        <v>1</v>
      </c>
      <c r="TM28" s="71">
        <f t="shared" si="113"/>
        <v>7</v>
      </c>
      <c r="TN28" s="53">
        <f>MEDIAN(3,3,3,3,2,3,3,3,3)</f>
        <v>3</v>
      </c>
      <c r="TO28">
        <f t="shared" si="114"/>
        <v>7</v>
      </c>
      <c r="TQ28" s="191">
        <v>25</v>
      </c>
      <c r="TR28" s="53">
        <v>2</v>
      </c>
      <c r="TS28" s="53">
        <f>MEDIAN(3,3,3,2,2)</f>
        <v>3</v>
      </c>
      <c r="TT28" s="53">
        <v>3</v>
      </c>
      <c r="TU28" s="53">
        <v>3</v>
      </c>
      <c r="TV28" s="71">
        <f t="shared" si="115"/>
        <v>11</v>
      </c>
      <c r="TX28" s="191">
        <v>25</v>
      </c>
      <c r="TY28" s="53">
        <v>1</v>
      </c>
      <c r="TZ28" s="53">
        <f>MEDIAN(3,3,3,3,2,3,3,1,2,3,3,3,3)</f>
        <v>3</v>
      </c>
      <c r="UA28" s="53">
        <v>1</v>
      </c>
      <c r="UB28" s="53">
        <v>0</v>
      </c>
      <c r="UC28" s="71">
        <f t="shared" si="116"/>
        <v>5</v>
      </c>
      <c r="UD28" s="53">
        <f>MEDIAN(3,3,3,3,2,3,3,1,2,3,3,3,3)</f>
        <v>3</v>
      </c>
      <c r="UE28">
        <f t="shared" si="117"/>
        <v>5</v>
      </c>
      <c r="UG28" s="191">
        <v>25</v>
      </c>
      <c r="UH28" s="53">
        <v>0</v>
      </c>
      <c r="UI28" s="53">
        <f>MEDIAN(2)</f>
        <v>2</v>
      </c>
      <c r="UJ28" s="53">
        <v>2</v>
      </c>
      <c r="UK28" s="53">
        <v>1</v>
      </c>
      <c r="UL28" s="71">
        <f>SUM(UH28:UK28)</f>
        <v>5</v>
      </c>
      <c r="UN28" s="191">
        <v>25</v>
      </c>
      <c r="UO28" s="53">
        <v>2</v>
      </c>
      <c r="UP28" s="53">
        <f>AVERAGE(3,3,2,3,2,3,3)</f>
        <v>2.7142857142857144</v>
      </c>
      <c r="UQ28" s="53">
        <v>3</v>
      </c>
      <c r="UR28" s="53">
        <v>2</v>
      </c>
      <c r="US28" s="71">
        <f t="shared" si="119"/>
        <v>9.7142857142857153</v>
      </c>
      <c r="UT28" s="53">
        <f>MEDIAN(3,3,2,3,2,3,3)</f>
        <v>3</v>
      </c>
      <c r="UU28">
        <f t="shared" si="120"/>
        <v>10</v>
      </c>
      <c r="UW28" s="191">
        <v>25</v>
      </c>
      <c r="UX28" s="53">
        <v>2</v>
      </c>
      <c r="UY28" s="53">
        <f>AVERAGE(3,3,2,3,3,3,3,3,3,3,3)</f>
        <v>2.9090909090909092</v>
      </c>
      <c r="UZ28" s="53">
        <v>3</v>
      </c>
      <c r="VA28" s="53">
        <v>2</v>
      </c>
      <c r="VB28" s="71">
        <f t="shared" si="121"/>
        <v>9.9090909090909101</v>
      </c>
      <c r="VC28" s="53">
        <f>MEDIAN(3,3,2,3,3,3,3,3,3,3,3)</f>
        <v>3</v>
      </c>
      <c r="VD28">
        <f t="shared" si="122"/>
        <v>10</v>
      </c>
      <c r="VF28" s="191">
        <v>25</v>
      </c>
      <c r="VG28" s="53">
        <v>1</v>
      </c>
      <c r="VH28" s="53">
        <f>AVERAGE(3,3,3,3,3,2,3)</f>
        <v>2.8571428571428572</v>
      </c>
      <c r="VI28" s="53">
        <v>2</v>
      </c>
      <c r="VJ28" s="53">
        <v>2</v>
      </c>
      <c r="VK28" s="71">
        <f t="shared" si="123"/>
        <v>7.8571428571428577</v>
      </c>
      <c r="VL28" s="53">
        <f>MEDIAN(3,3,3,3,3,2,3)</f>
        <v>3</v>
      </c>
      <c r="VM28">
        <f t="shared" si="124"/>
        <v>8</v>
      </c>
      <c r="VO28" s="191">
        <v>25</v>
      </c>
      <c r="VP28" s="53">
        <v>1</v>
      </c>
      <c r="VQ28" s="53">
        <f>AVERAGE(2,3)</f>
        <v>2.5</v>
      </c>
      <c r="VR28" s="53">
        <v>1</v>
      </c>
      <c r="VS28" s="53">
        <v>0</v>
      </c>
      <c r="VT28" s="71">
        <f t="shared" si="125"/>
        <v>4.5</v>
      </c>
      <c r="VU28" s="53">
        <f>MEDIAN(2,3)</f>
        <v>2.5</v>
      </c>
      <c r="VV28">
        <f t="shared" si="126"/>
        <v>4.5</v>
      </c>
    </row>
    <row r="29" spans="2:594" ht="15" thickBot="1" x14ac:dyDescent="0.4">
      <c r="D29" s="75">
        <f>SUM(D4:D28)</f>
        <v>50.673575036075036</v>
      </c>
      <c r="G29" s="209">
        <f>SUM(G4:G28)</f>
        <v>125.67357503607505</v>
      </c>
      <c r="H29" s="14"/>
      <c r="I29" s="14"/>
      <c r="M29" s="75">
        <f>SUM(M4:M28)</f>
        <v>54.002851396969049</v>
      </c>
      <c r="P29" s="209">
        <f>SUM(P4:P28)</f>
        <v>173.00285139696905</v>
      </c>
      <c r="Q29" s="14"/>
      <c r="R29" s="14"/>
      <c r="U29">
        <f>SUM(U4:U28)</f>
        <v>19</v>
      </c>
      <c r="V29">
        <f t="shared" ref="V29:X29" si="128">SUM(V4:V28)</f>
        <v>63.370507270507268</v>
      </c>
      <c r="W29">
        <f t="shared" si="128"/>
        <v>43</v>
      </c>
      <c r="X29">
        <f t="shared" si="128"/>
        <v>34</v>
      </c>
      <c r="Z29" s="209">
        <f>SUM(Z4:Z28)</f>
        <v>162.5</v>
      </c>
      <c r="AC29" s="75">
        <f>SUM(AC4:AC28)</f>
        <v>30</v>
      </c>
      <c r="AD29" s="75">
        <f>SUM(AD4:AD28)</f>
        <v>58.091197691197685</v>
      </c>
      <c r="AE29" s="75">
        <f t="shared" ref="AE29:AF29" si="129">SUM(AE4:AE28)</f>
        <v>68</v>
      </c>
      <c r="AF29" s="75">
        <f t="shared" si="129"/>
        <v>50</v>
      </c>
      <c r="AG29" s="75"/>
      <c r="AH29" s="209">
        <f>SUM(AH4:AH28)</f>
        <v>201.5</v>
      </c>
      <c r="AK29" s="75">
        <f>SUM(AK4:AK28)</f>
        <v>15</v>
      </c>
      <c r="AL29" s="75">
        <f>SUM(AL4:AL28)</f>
        <v>62.773809523809518</v>
      </c>
      <c r="AM29" s="75">
        <f t="shared" ref="AM29:AN29" si="130">SUM(AM4:AM28)</f>
        <v>38</v>
      </c>
      <c r="AN29" s="75">
        <f t="shared" si="130"/>
        <v>35</v>
      </c>
      <c r="AO29" s="209">
        <f>SUM(AO4:AO28)</f>
        <v>150.77380952380949</v>
      </c>
      <c r="AP29" s="14"/>
      <c r="AQ29" s="14"/>
      <c r="AT29" s="75">
        <f>SUM(AT4:AT28)</f>
        <v>25</v>
      </c>
      <c r="AU29" s="75">
        <f>SUM(AU4:AU28)</f>
        <v>60.089682539682549</v>
      </c>
      <c r="AV29" s="75">
        <f t="shared" ref="AV29:AW29" si="131">SUM(AV4:AV28)</f>
        <v>47</v>
      </c>
      <c r="AW29" s="75">
        <f t="shared" si="131"/>
        <v>31</v>
      </c>
      <c r="AX29" s="76">
        <f>SUM(AX4:AX28)</f>
        <v>163.08968253968254</v>
      </c>
      <c r="AY29" s="14"/>
      <c r="AZ29" s="14"/>
      <c r="BC29" s="75">
        <f>SUM(BC4:BC28)</f>
        <v>20</v>
      </c>
      <c r="BD29" s="75">
        <f>SUM(BD4:BD28)</f>
        <v>59.5</v>
      </c>
      <c r="BE29" s="75">
        <f>(SUM(BE4:BE28))*(25/20)</f>
        <v>28.75</v>
      </c>
      <c r="BF29" s="75">
        <f t="shared" ref="BF29" si="132">SUM(BF4:BF28)</f>
        <v>30</v>
      </c>
      <c r="BG29" s="76">
        <f>SUM(BG4:BG28)</f>
        <v>140.83333333333334</v>
      </c>
      <c r="BH29" s="14"/>
      <c r="BI29" s="14"/>
      <c r="BM29" s="75">
        <f>SUM(BM4:BM28)</f>
        <v>58</v>
      </c>
      <c r="BP29" s="76">
        <f>SUM(BP4:BP28)</f>
        <v>129</v>
      </c>
      <c r="BQ29" s="14"/>
      <c r="BR29" s="14"/>
      <c r="BU29" s="75">
        <f>SUM(BU4:BU28)</f>
        <v>25</v>
      </c>
      <c r="BV29" s="75">
        <f>SUM(BV4:BV28)</f>
        <v>53</v>
      </c>
      <c r="BW29" s="75">
        <f t="shared" ref="BW29:BX29" si="133">SUM(BW4:BW28)</f>
        <v>28</v>
      </c>
      <c r="BX29" s="75">
        <f t="shared" si="133"/>
        <v>30</v>
      </c>
      <c r="BY29" s="76">
        <f>SUM(BY4:BY28)</f>
        <v>136</v>
      </c>
      <c r="CC29" s="75">
        <f t="shared" ref="CC29:CF29" si="134">SUM(CC4:CC28)</f>
        <v>24</v>
      </c>
      <c r="CD29" s="75">
        <f>SUM(CD4:CD28)</f>
        <v>59.5</v>
      </c>
      <c r="CE29" s="75">
        <f t="shared" si="134"/>
        <v>41</v>
      </c>
      <c r="CF29" s="75">
        <f t="shared" si="134"/>
        <v>25</v>
      </c>
      <c r="CG29" s="76">
        <f>SUM(CG4:CG28)</f>
        <v>149.5</v>
      </c>
      <c r="CK29" s="75">
        <f>SUM(CK4:CK28)</f>
        <v>24</v>
      </c>
      <c r="CL29" s="75">
        <f>SUM(CL4:CL28)</f>
        <v>62.5</v>
      </c>
      <c r="CM29" s="75">
        <f t="shared" ref="CM29:CN29" si="135">SUM(CM4:CM28)</f>
        <v>53</v>
      </c>
      <c r="CN29" s="75">
        <f t="shared" si="135"/>
        <v>44</v>
      </c>
      <c r="CO29" s="76">
        <f>SUM(CO4:CO28)</f>
        <v>183.5</v>
      </c>
      <c r="CP29" s="14"/>
      <c r="CQ29" s="14"/>
      <c r="CT29" s="75">
        <f>SUM(CT4:CT28)</f>
        <v>42</v>
      </c>
      <c r="CU29" s="75">
        <f>SUM(CU4:CU28)</f>
        <v>55</v>
      </c>
      <c r="CV29" s="75">
        <f t="shared" ref="CV29:CW29" si="136">SUM(CV4:CV28)</f>
        <v>57</v>
      </c>
      <c r="CW29" s="75">
        <f t="shared" si="136"/>
        <v>42</v>
      </c>
      <c r="CX29" s="76">
        <f>SUM(CX4:CX28)</f>
        <v>196</v>
      </c>
      <c r="CY29" s="14"/>
      <c r="CZ29" s="14"/>
      <c r="DC29">
        <f t="shared" ref="DC29:DG29" si="137">SUM(DC4:DC28)</f>
        <v>15</v>
      </c>
      <c r="DD29" s="75">
        <f t="shared" si="137"/>
        <v>65.174332611832611</v>
      </c>
      <c r="DE29">
        <f t="shared" si="137"/>
        <v>49</v>
      </c>
      <c r="DF29">
        <f t="shared" si="137"/>
        <v>13</v>
      </c>
      <c r="DG29" s="76">
        <f t="shared" si="137"/>
        <v>142.17433261183263</v>
      </c>
      <c r="DH29" s="14"/>
      <c r="DI29" s="14"/>
      <c r="DL29" s="75">
        <f>SUM(DL4:DL28)</f>
        <v>11</v>
      </c>
      <c r="DM29" s="75">
        <f>SUM(DM4:DM28)</f>
        <v>60.894711794053897</v>
      </c>
      <c r="DN29" s="75">
        <f>SUM(DN4:DN28)</f>
        <v>69</v>
      </c>
      <c r="DO29" s="75">
        <f>SUM(DO4:DO28)</f>
        <v>35</v>
      </c>
      <c r="DP29" s="76">
        <f>SUM(DP4:DP28)</f>
        <v>175.89471179405385</v>
      </c>
      <c r="DQ29" s="14"/>
      <c r="DR29" s="14"/>
      <c r="DU29">
        <f t="shared" ref="DU29:DX29" si="138">SUM(DU4:DU28)</f>
        <v>22</v>
      </c>
      <c r="DV29" s="75">
        <f t="shared" si="138"/>
        <v>57.354332019889291</v>
      </c>
      <c r="DW29">
        <f t="shared" si="138"/>
        <v>60</v>
      </c>
      <c r="DX29">
        <f t="shared" si="138"/>
        <v>27</v>
      </c>
      <c r="DY29" s="76">
        <f>SUM(DY4:DY28)</f>
        <v>166.35433201988928</v>
      </c>
      <c r="DZ29" s="14"/>
      <c r="EA29" s="14"/>
      <c r="ED29">
        <f>SUM(ED4:ED28)</f>
        <v>23</v>
      </c>
      <c r="EE29" s="75">
        <f>SUM(EE4:EE28)</f>
        <v>65.669841269841271</v>
      </c>
      <c r="EF29">
        <f>SUM(EF4:EF28)</f>
        <v>47</v>
      </c>
      <c r="EG29">
        <f>SUM(EG4:EG28)</f>
        <v>28</v>
      </c>
      <c r="EH29" s="76">
        <f>SUM(EH4:EH28)</f>
        <v>163.66984126984127</v>
      </c>
      <c r="EI29" s="14"/>
      <c r="EJ29" s="14"/>
      <c r="EL29" s="14"/>
      <c r="EM29" s="14">
        <f t="shared" ref="EM29:ES29" si="139">SUM(EM4:EM28)</f>
        <v>12</v>
      </c>
      <c r="EN29" s="14">
        <f t="shared" si="139"/>
        <v>51.765020110608347</v>
      </c>
      <c r="EO29" s="14">
        <f t="shared" si="139"/>
        <v>44</v>
      </c>
      <c r="EP29" s="14">
        <f t="shared" si="139"/>
        <v>17</v>
      </c>
      <c r="EQ29" s="14">
        <f t="shared" si="139"/>
        <v>124.76502011060835</v>
      </c>
      <c r="ER29" s="14">
        <f t="shared" si="139"/>
        <v>51.5</v>
      </c>
      <c r="ES29" s="14">
        <f t="shared" si="139"/>
        <v>124.5</v>
      </c>
      <c r="EU29" s="14"/>
      <c r="EV29" s="14">
        <f t="shared" ref="EV29:FB29" si="140">SUM(EV4:EV28)</f>
        <v>20</v>
      </c>
      <c r="EW29" s="14">
        <f t="shared" si="140"/>
        <v>59.191289158897526</v>
      </c>
      <c r="EX29" s="14">
        <f t="shared" si="140"/>
        <v>34</v>
      </c>
      <c r="EY29" s="14">
        <f t="shared" si="140"/>
        <v>14</v>
      </c>
      <c r="EZ29" s="14">
        <f t="shared" si="140"/>
        <v>127.19128915889749</v>
      </c>
      <c r="FA29" s="14">
        <f t="shared" si="140"/>
        <v>56.5</v>
      </c>
      <c r="FB29" s="14">
        <f t="shared" si="140"/>
        <v>124.5</v>
      </c>
      <c r="FD29" s="14"/>
      <c r="FE29" s="14">
        <f t="shared" ref="FE29:FK29" si="141">SUM(FE4:FE28)</f>
        <v>8</v>
      </c>
      <c r="FF29" s="14">
        <f t="shared" si="141"/>
        <v>70.16665556665555</v>
      </c>
      <c r="FG29" s="14">
        <f t="shared" si="141"/>
        <v>24</v>
      </c>
      <c r="FH29" s="14">
        <f t="shared" si="141"/>
        <v>8</v>
      </c>
      <c r="FI29" s="14">
        <f t="shared" si="141"/>
        <v>110.16665556665556</v>
      </c>
      <c r="FJ29" s="14">
        <f t="shared" si="141"/>
        <v>71.5</v>
      </c>
      <c r="FK29" s="14">
        <f t="shared" si="141"/>
        <v>111.5</v>
      </c>
      <c r="FM29" s="14"/>
      <c r="FN29" s="14">
        <f t="shared" ref="FN29:FT29" si="142">SUM(FN4:FN28)</f>
        <v>24</v>
      </c>
      <c r="FO29" s="14">
        <f t="shared" si="142"/>
        <v>66.824580974580982</v>
      </c>
      <c r="FP29" s="14">
        <f t="shared" si="142"/>
        <v>52</v>
      </c>
      <c r="FQ29" s="14">
        <f t="shared" si="142"/>
        <v>21</v>
      </c>
      <c r="FR29" s="14">
        <f t="shared" si="142"/>
        <v>163.82458097458098</v>
      </c>
      <c r="FS29" s="14">
        <f t="shared" si="142"/>
        <v>69.5</v>
      </c>
      <c r="FT29" s="14">
        <f t="shared" si="142"/>
        <v>166.5</v>
      </c>
      <c r="FV29" s="14"/>
      <c r="FW29" s="14">
        <f t="shared" ref="FW29:GC29" si="143">SUM(FW4:FW28)</f>
        <v>25</v>
      </c>
      <c r="FX29" s="14">
        <f t="shared" si="143"/>
        <v>69.5</v>
      </c>
      <c r="FY29" s="14">
        <f t="shared" si="143"/>
        <v>51</v>
      </c>
      <c r="FZ29" s="14">
        <f t="shared" si="143"/>
        <v>26</v>
      </c>
      <c r="GA29" s="14">
        <f t="shared" si="143"/>
        <v>171.5</v>
      </c>
      <c r="GB29" s="14">
        <f t="shared" si="143"/>
        <v>69.5</v>
      </c>
      <c r="GC29" s="14">
        <f t="shared" si="143"/>
        <v>171.5</v>
      </c>
      <c r="GE29" s="14"/>
      <c r="GF29" s="14">
        <f t="shared" ref="GF29:GL29" si="144">SUM(GF4:GF28)</f>
        <v>19</v>
      </c>
      <c r="GG29" s="14">
        <f t="shared" si="144"/>
        <v>73</v>
      </c>
      <c r="GH29" s="14">
        <f t="shared" si="144"/>
        <v>20</v>
      </c>
      <c r="GI29" s="14">
        <f t="shared" si="144"/>
        <v>8</v>
      </c>
      <c r="GJ29" s="14">
        <f t="shared" si="144"/>
        <v>120</v>
      </c>
      <c r="GK29" s="14">
        <f t="shared" si="144"/>
        <v>73</v>
      </c>
      <c r="GL29" s="14">
        <f t="shared" si="144"/>
        <v>120</v>
      </c>
      <c r="GN29" s="14"/>
      <c r="GO29" s="14">
        <f t="shared" ref="GO29:GU29" si="145">SUM(GO4:GO28)</f>
        <v>26</v>
      </c>
      <c r="GP29" s="14">
        <f t="shared" si="145"/>
        <v>64.333189033189029</v>
      </c>
      <c r="GQ29" s="14">
        <f t="shared" si="145"/>
        <v>17</v>
      </c>
      <c r="GR29" s="14">
        <f t="shared" si="145"/>
        <v>16</v>
      </c>
      <c r="GS29" s="14">
        <f t="shared" si="145"/>
        <v>123.33318903318904</v>
      </c>
      <c r="GT29" s="14">
        <f t="shared" si="145"/>
        <v>66</v>
      </c>
      <c r="GU29" s="14">
        <f t="shared" si="145"/>
        <v>125</v>
      </c>
      <c r="GW29" s="14"/>
      <c r="GX29" s="14">
        <f t="shared" ref="GX29:HD29" si="146">SUM(GX4:GX28)</f>
        <v>25</v>
      </c>
      <c r="GY29" s="14">
        <f t="shared" si="146"/>
        <v>63.707142857142863</v>
      </c>
      <c r="GZ29" s="14">
        <f t="shared" si="146"/>
        <v>44</v>
      </c>
      <c r="HA29" s="14">
        <f t="shared" si="146"/>
        <v>30</v>
      </c>
      <c r="HB29" s="14">
        <f t="shared" si="146"/>
        <v>162.70714285714283</v>
      </c>
      <c r="HC29" s="14">
        <f t="shared" si="146"/>
        <v>65</v>
      </c>
      <c r="HD29" s="14">
        <f t="shared" si="146"/>
        <v>164</v>
      </c>
      <c r="HG29">
        <f>SUM(HG4:HG28)</f>
        <v>8</v>
      </c>
      <c r="HH29">
        <f t="shared" ref="HH29:HM29" si="147">SUM(HH4:HH28)</f>
        <v>68.515422077922068</v>
      </c>
      <c r="HI29">
        <f t="shared" si="147"/>
        <v>58</v>
      </c>
      <c r="HJ29">
        <f t="shared" si="147"/>
        <v>27</v>
      </c>
      <c r="HK29">
        <f t="shared" si="147"/>
        <v>161.51542207792204</v>
      </c>
      <c r="HL29">
        <f t="shared" si="147"/>
        <v>72</v>
      </c>
      <c r="HM29">
        <f t="shared" si="147"/>
        <v>165</v>
      </c>
      <c r="HP29">
        <f>SUM(HP4:HP28)</f>
        <v>22</v>
      </c>
      <c r="HQ29">
        <f t="shared" ref="HQ29:HV29" si="148">SUM(HQ4:HQ28)</f>
        <v>62.65112665112666</v>
      </c>
      <c r="HR29">
        <f t="shared" si="148"/>
        <v>60</v>
      </c>
      <c r="HS29">
        <f t="shared" si="148"/>
        <v>38</v>
      </c>
      <c r="HT29">
        <f t="shared" si="148"/>
        <v>182.65112665112667</v>
      </c>
      <c r="HU29">
        <f t="shared" si="148"/>
        <v>64</v>
      </c>
      <c r="HV29">
        <f t="shared" si="148"/>
        <v>184</v>
      </c>
      <c r="HY29">
        <f>SUM(HY4:HY28)</f>
        <v>6</v>
      </c>
      <c r="HZ29">
        <f t="shared" ref="HZ29:IB29" si="149">SUM(HZ4:HZ28)</f>
        <v>60</v>
      </c>
      <c r="IA29">
        <f t="shared" si="149"/>
        <v>39</v>
      </c>
      <c r="IB29">
        <f t="shared" si="149"/>
        <v>24</v>
      </c>
      <c r="IC29">
        <f>SUM(IC4:IC28)</f>
        <v>129</v>
      </c>
      <c r="ID29">
        <f>SUM(ID4:ID28)</f>
        <v>60</v>
      </c>
      <c r="IE29">
        <f>SUM(IE4:IE28)</f>
        <v>129</v>
      </c>
      <c r="IH29">
        <f>SUM(IH4:IH28)</f>
        <v>12</v>
      </c>
      <c r="II29">
        <f t="shared" ref="II29:IN29" si="150">SUM(II4:II28)</f>
        <v>71.5</v>
      </c>
      <c r="IJ29">
        <f t="shared" si="150"/>
        <v>25</v>
      </c>
      <c r="IK29">
        <f t="shared" si="150"/>
        <v>12</v>
      </c>
      <c r="IL29">
        <f t="shared" si="150"/>
        <v>120.5</v>
      </c>
      <c r="IM29">
        <f t="shared" si="150"/>
        <v>71.5</v>
      </c>
      <c r="IN29">
        <f t="shared" si="150"/>
        <v>120.5</v>
      </c>
      <c r="IQ29">
        <f>SUM(IQ4:IQ28)</f>
        <v>17</v>
      </c>
      <c r="IR29">
        <f t="shared" ref="IR29:IW29" si="151">SUM(IR4:IR28)</f>
        <v>71.129220779220773</v>
      </c>
      <c r="IS29">
        <f t="shared" si="151"/>
        <v>46</v>
      </c>
      <c r="IT29">
        <f t="shared" si="151"/>
        <v>32</v>
      </c>
      <c r="IU29">
        <f t="shared" si="151"/>
        <v>166.12922077922076</v>
      </c>
      <c r="IV29">
        <f t="shared" si="151"/>
        <v>75</v>
      </c>
      <c r="IW29">
        <f t="shared" si="151"/>
        <v>170</v>
      </c>
      <c r="IZ29">
        <f>SUM(IZ4:IZ28)</f>
        <v>18</v>
      </c>
      <c r="JA29">
        <f t="shared" ref="JA29:JF29" si="152">SUM(JA4:JA28)</f>
        <v>71.265007215007202</v>
      </c>
      <c r="JB29">
        <f t="shared" si="152"/>
        <v>61</v>
      </c>
      <c r="JC29">
        <f t="shared" si="152"/>
        <v>34</v>
      </c>
      <c r="JD29">
        <f t="shared" si="152"/>
        <v>184.26500721500722</v>
      </c>
      <c r="JE29">
        <f t="shared" si="152"/>
        <v>75</v>
      </c>
      <c r="JF29">
        <f t="shared" si="152"/>
        <v>188</v>
      </c>
      <c r="JI29">
        <f>SUM(JI4:JI28)</f>
        <v>12</v>
      </c>
      <c r="JJ29">
        <f t="shared" ref="JJ29:JO29" si="153">SUM(JJ4:JJ28)</f>
        <v>73.5</v>
      </c>
      <c r="JK29">
        <f t="shared" si="153"/>
        <v>64</v>
      </c>
      <c r="JL29">
        <f t="shared" si="153"/>
        <v>45</v>
      </c>
      <c r="JM29">
        <f t="shared" si="153"/>
        <v>194.5</v>
      </c>
      <c r="JN29">
        <f t="shared" si="153"/>
        <v>73.5</v>
      </c>
      <c r="JO29">
        <f t="shared" si="153"/>
        <v>194.5</v>
      </c>
      <c r="JR29">
        <f>SUM(JR4:JR28)</f>
        <v>7</v>
      </c>
      <c r="JS29">
        <f t="shared" ref="JS29:JX29" si="154">SUM(JS4:JS28)</f>
        <v>70.5</v>
      </c>
      <c r="JT29">
        <f t="shared" si="154"/>
        <v>16</v>
      </c>
      <c r="JU29">
        <f t="shared" si="154"/>
        <v>20</v>
      </c>
      <c r="JV29">
        <f t="shared" si="154"/>
        <v>113.5</v>
      </c>
      <c r="JW29">
        <f t="shared" si="154"/>
        <v>70.5</v>
      </c>
      <c r="JX29">
        <f t="shared" si="154"/>
        <v>113.5</v>
      </c>
      <c r="KA29">
        <f>SUM(KA4:KA28)</f>
        <v>5</v>
      </c>
      <c r="KB29">
        <f t="shared" ref="KB29:KG29" si="155">SUM(KB4:KB28)</f>
        <v>70.202553002553003</v>
      </c>
      <c r="KC29">
        <f t="shared" si="155"/>
        <v>23</v>
      </c>
      <c r="KD29">
        <f t="shared" si="155"/>
        <v>21</v>
      </c>
      <c r="KE29">
        <f t="shared" si="155"/>
        <v>119.20255300255302</v>
      </c>
      <c r="KF29">
        <f t="shared" si="155"/>
        <v>74</v>
      </c>
      <c r="KG29">
        <f t="shared" si="155"/>
        <v>123</v>
      </c>
      <c r="KJ29">
        <f>SUM(KJ4:KJ28)</f>
        <v>13</v>
      </c>
      <c r="KK29">
        <f t="shared" ref="KK29:KP29" si="156">SUM(KK4:KK28)</f>
        <v>66.6375028566205</v>
      </c>
      <c r="KL29">
        <f t="shared" si="156"/>
        <v>59</v>
      </c>
      <c r="KM29">
        <f t="shared" si="156"/>
        <v>23</v>
      </c>
      <c r="KN29">
        <f t="shared" si="156"/>
        <v>161.6375028566205</v>
      </c>
      <c r="KO29">
        <f t="shared" si="156"/>
        <v>72.5</v>
      </c>
      <c r="KP29">
        <f t="shared" si="156"/>
        <v>167.5</v>
      </c>
      <c r="KS29">
        <f>SUM(KS4:KS28)</f>
        <v>30</v>
      </c>
      <c r="KT29">
        <f t="shared" ref="KT29:KY29" si="157">SUM(KT4:KT28)</f>
        <v>68.318073593073592</v>
      </c>
      <c r="KU29">
        <f t="shared" si="157"/>
        <v>59</v>
      </c>
      <c r="KV29">
        <f t="shared" si="157"/>
        <v>64</v>
      </c>
      <c r="KW29">
        <f t="shared" si="157"/>
        <v>221.31807359307356</v>
      </c>
      <c r="KX29">
        <f t="shared" si="157"/>
        <v>71.5</v>
      </c>
      <c r="KY29">
        <f t="shared" si="157"/>
        <v>224.5</v>
      </c>
      <c r="LB29">
        <f>SUM(LB4:LB28)</f>
        <v>30</v>
      </c>
      <c r="LC29">
        <f t="shared" ref="LC29:LH29" si="158">SUM(LC4:LC28)</f>
        <v>66.25177045177044</v>
      </c>
      <c r="LD29">
        <f t="shared" si="158"/>
        <v>55</v>
      </c>
      <c r="LE29">
        <f t="shared" si="158"/>
        <v>62</v>
      </c>
      <c r="LF29">
        <f t="shared" si="158"/>
        <v>213.25177045177045</v>
      </c>
      <c r="LG29">
        <f t="shared" si="158"/>
        <v>70.5</v>
      </c>
      <c r="LH29">
        <f t="shared" si="158"/>
        <v>217.5</v>
      </c>
      <c r="LL29">
        <f>SUM(LL4:LL28)</f>
        <v>5</v>
      </c>
      <c r="LM29">
        <f t="shared" ref="LM29:LR29" si="159">SUM(LM4:LM28)</f>
        <v>64.214309056956125</v>
      </c>
      <c r="LN29">
        <f t="shared" si="159"/>
        <v>55</v>
      </c>
      <c r="LO29">
        <f t="shared" si="159"/>
        <v>32</v>
      </c>
      <c r="LP29">
        <f t="shared" si="159"/>
        <v>156.21430905695615</v>
      </c>
      <c r="LQ29">
        <f t="shared" si="159"/>
        <v>67</v>
      </c>
      <c r="LR29">
        <f t="shared" si="159"/>
        <v>159</v>
      </c>
      <c r="LU29">
        <f>SUM(LU4:LU28)</f>
        <v>22</v>
      </c>
      <c r="LV29">
        <f t="shared" ref="LV29:MA29" si="160">SUM(LV4:LV28)</f>
        <v>69.227317290552577</v>
      </c>
      <c r="LW29">
        <f t="shared" si="160"/>
        <v>47</v>
      </c>
      <c r="LX29">
        <f t="shared" si="160"/>
        <v>26</v>
      </c>
      <c r="LY29">
        <f t="shared" si="160"/>
        <v>164.22731729055258</v>
      </c>
      <c r="LZ29">
        <f>SUM(LZ4:LZ28)</f>
        <v>74</v>
      </c>
      <c r="MA29">
        <f t="shared" si="160"/>
        <v>169</v>
      </c>
      <c r="MD29">
        <f>SUM(MD4:MD28)</f>
        <v>19</v>
      </c>
      <c r="ME29">
        <f t="shared" ref="ME29:MJ29" si="161">SUM(ME4:ME28)</f>
        <v>68.325505860238849</v>
      </c>
      <c r="MF29">
        <f t="shared" si="161"/>
        <v>58</v>
      </c>
      <c r="MG29">
        <f t="shared" si="161"/>
        <v>35</v>
      </c>
      <c r="MH29">
        <f t="shared" si="161"/>
        <v>180.32550586023882</v>
      </c>
      <c r="MI29">
        <f t="shared" si="161"/>
        <v>70</v>
      </c>
      <c r="MJ29">
        <f t="shared" si="161"/>
        <v>182</v>
      </c>
      <c r="MM29">
        <f>SUM(MM4:MM28)</f>
        <v>27</v>
      </c>
      <c r="MN29">
        <f t="shared" ref="MN29:MS29" si="162">SUM(MN4:MN28)</f>
        <v>72.293372770160687</v>
      </c>
      <c r="MO29">
        <f t="shared" si="162"/>
        <v>61</v>
      </c>
      <c r="MP29">
        <f t="shared" si="162"/>
        <v>30</v>
      </c>
      <c r="MQ29">
        <f t="shared" si="162"/>
        <v>190.29337277016069</v>
      </c>
      <c r="MR29">
        <f t="shared" si="162"/>
        <v>75</v>
      </c>
      <c r="MS29">
        <f t="shared" si="162"/>
        <v>193</v>
      </c>
      <c r="MV29">
        <f>SUM(MV4:MV28)</f>
        <v>31</v>
      </c>
      <c r="MW29">
        <f t="shared" ref="MW29:NB29" si="163">SUM(MW4:MW28)</f>
        <v>68</v>
      </c>
      <c r="MX29">
        <f t="shared" si="163"/>
        <v>49</v>
      </c>
      <c r="MY29">
        <f t="shared" si="163"/>
        <v>30</v>
      </c>
      <c r="MZ29">
        <f t="shared" si="163"/>
        <v>178</v>
      </c>
      <c r="NA29">
        <f t="shared" si="163"/>
        <v>68</v>
      </c>
      <c r="NB29">
        <f t="shared" si="163"/>
        <v>178</v>
      </c>
      <c r="NE29">
        <f>SUM(NE4:NE28)</f>
        <v>18</v>
      </c>
      <c r="NF29">
        <f t="shared" ref="NF29:NK29" si="164">SUM(NF4:NF28)</f>
        <v>65.5</v>
      </c>
      <c r="NG29">
        <f t="shared" si="164"/>
        <v>45</v>
      </c>
      <c r="NH29">
        <f t="shared" si="164"/>
        <v>29</v>
      </c>
      <c r="NI29">
        <f t="shared" si="164"/>
        <v>157.5</v>
      </c>
      <c r="NJ29">
        <f t="shared" si="164"/>
        <v>65.5</v>
      </c>
      <c r="NK29">
        <f t="shared" si="164"/>
        <v>157.5</v>
      </c>
      <c r="NN29">
        <f>SUM(NN4:NN28)</f>
        <v>22</v>
      </c>
      <c r="NO29">
        <f t="shared" ref="NO29:NT29" si="165">SUM(NO4:NO28)</f>
        <v>70.341966938290454</v>
      </c>
      <c r="NP29">
        <f t="shared" si="165"/>
        <v>40</v>
      </c>
      <c r="NQ29">
        <f t="shared" si="165"/>
        <v>28</v>
      </c>
      <c r="NR29">
        <f t="shared" si="165"/>
        <v>160.34196693829048</v>
      </c>
      <c r="NS29">
        <f t="shared" si="165"/>
        <v>73</v>
      </c>
      <c r="NT29">
        <f t="shared" si="165"/>
        <v>163</v>
      </c>
      <c r="NW29">
        <f>SUM(NW4:NW28)</f>
        <v>34</v>
      </c>
      <c r="NX29">
        <f t="shared" ref="NX29:OC29" si="166">SUM(NX4:NX28)</f>
        <v>73.00358310009338</v>
      </c>
      <c r="NY29">
        <f t="shared" si="166"/>
        <v>63</v>
      </c>
      <c r="NZ29">
        <f t="shared" si="166"/>
        <v>46</v>
      </c>
      <c r="OA29">
        <f t="shared" si="166"/>
        <v>216.00358310009341</v>
      </c>
      <c r="OB29">
        <f t="shared" si="166"/>
        <v>75</v>
      </c>
      <c r="OC29">
        <f t="shared" si="166"/>
        <v>218</v>
      </c>
      <c r="OF29">
        <f>SUM(OF4:OF28)</f>
        <v>28</v>
      </c>
      <c r="OG29">
        <f t="shared" ref="OG29:OL29" si="167">SUM(OG4:OG28)</f>
        <v>75</v>
      </c>
      <c r="OH29">
        <f t="shared" si="167"/>
        <v>60</v>
      </c>
      <c r="OI29">
        <f t="shared" si="167"/>
        <v>34</v>
      </c>
      <c r="OJ29">
        <f t="shared" si="167"/>
        <v>197</v>
      </c>
      <c r="OK29">
        <f t="shared" si="167"/>
        <v>75</v>
      </c>
      <c r="OL29">
        <f t="shared" si="167"/>
        <v>197</v>
      </c>
      <c r="OO29">
        <f>SUM(OO4:OO28)</f>
        <v>32</v>
      </c>
      <c r="OP29">
        <f t="shared" ref="OP29:OU29" si="168">SUM(OP4:OP28)</f>
        <v>75</v>
      </c>
      <c r="OQ29">
        <f t="shared" si="168"/>
        <v>39</v>
      </c>
      <c r="OR29">
        <f t="shared" si="168"/>
        <v>27</v>
      </c>
      <c r="OS29">
        <f t="shared" si="168"/>
        <v>173</v>
      </c>
      <c r="OT29">
        <f t="shared" si="168"/>
        <v>75</v>
      </c>
      <c r="OU29">
        <f t="shared" si="168"/>
        <v>173</v>
      </c>
      <c r="OX29">
        <f>SUM(OX4:OX28)</f>
        <v>14</v>
      </c>
      <c r="OY29">
        <f t="shared" ref="OY29:PD29" si="169">SUM(OY4:OY28)</f>
        <v>58.155250305250313</v>
      </c>
      <c r="OZ29">
        <f t="shared" si="169"/>
        <v>54</v>
      </c>
      <c r="PA29">
        <f t="shared" si="169"/>
        <v>29</v>
      </c>
      <c r="PB29">
        <f t="shared" si="169"/>
        <v>155.15525030525032</v>
      </c>
      <c r="PC29">
        <f t="shared" si="169"/>
        <v>56.5</v>
      </c>
      <c r="PD29">
        <f t="shared" si="169"/>
        <v>153.5</v>
      </c>
      <c r="PG29">
        <f>SUM(PG4:PG28)</f>
        <v>28</v>
      </c>
      <c r="PH29">
        <f t="shared" ref="PH29:PM29" si="170">SUM(PH4:PH28)</f>
        <v>58.533730158730144</v>
      </c>
      <c r="PI29">
        <f t="shared" si="170"/>
        <v>34</v>
      </c>
      <c r="PJ29">
        <f t="shared" si="170"/>
        <v>22</v>
      </c>
      <c r="PK29">
        <f t="shared" si="170"/>
        <v>142.53373015873021</v>
      </c>
      <c r="PL29">
        <f>SUM(PL4:PL28)</f>
        <v>61.5</v>
      </c>
      <c r="PM29">
        <f t="shared" si="170"/>
        <v>145.5</v>
      </c>
      <c r="PP29">
        <f>SUM(PP4:PP28)</f>
        <v>8</v>
      </c>
      <c r="PQ29">
        <f t="shared" ref="PQ29:PT29" si="171">SUM(PQ4:PQ28)</f>
        <v>53.5</v>
      </c>
      <c r="PR29">
        <f t="shared" si="171"/>
        <v>39</v>
      </c>
      <c r="PS29">
        <f t="shared" si="171"/>
        <v>18</v>
      </c>
      <c r="PT29">
        <f t="shared" si="171"/>
        <v>118.5</v>
      </c>
      <c r="PW29">
        <f>SUM(PW4:PW28)</f>
        <v>29</v>
      </c>
      <c r="PX29">
        <f t="shared" ref="PX29:QC29" si="172">SUM(PX4:PX28)</f>
        <v>65.5</v>
      </c>
      <c r="PY29">
        <f t="shared" si="172"/>
        <v>42</v>
      </c>
      <c r="PZ29">
        <f t="shared" si="172"/>
        <v>25</v>
      </c>
      <c r="QA29">
        <f t="shared" si="172"/>
        <v>161.5</v>
      </c>
      <c r="QB29">
        <f t="shared" si="172"/>
        <v>65.5</v>
      </c>
      <c r="QC29">
        <f t="shared" si="172"/>
        <v>161.5</v>
      </c>
      <c r="QF29">
        <f>SUM(QF4:QF28)</f>
        <v>6</v>
      </c>
      <c r="QG29">
        <f t="shared" ref="QG29:QL29" si="173">SUM(QG4:QG28)</f>
        <v>64</v>
      </c>
      <c r="QH29">
        <f t="shared" si="173"/>
        <v>20</v>
      </c>
      <c r="QI29">
        <f t="shared" si="173"/>
        <v>16</v>
      </c>
      <c r="QJ29">
        <f t="shared" si="173"/>
        <v>106</v>
      </c>
      <c r="QK29">
        <f t="shared" si="173"/>
        <v>64</v>
      </c>
      <c r="QL29">
        <f t="shared" si="173"/>
        <v>106</v>
      </c>
      <c r="QO29">
        <f>SUM(QO4:QO28)</f>
        <v>38</v>
      </c>
      <c r="QP29">
        <f t="shared" ref="QP29:QU29" si="174">SUM(QP4:QP28)</f>
        <v>69</v>
      </c>
      <c r="QQ29">
        <f t="shared" si="174"/>
        <v>64</v>
      </c>
      <c r="QR29">
        <f t="shared" si="174"/>
        <v>46</v>
      </c>
      <c r="QS29">
        <f t="shared" si="174"/>
        <v>217</v>
      </c>
      <c r="QT29">
        <f t="shared" si="174"/>
        <v>69</v>
      </c>
      <c r="QU29">
        <f t="shared" si="174"/>
        <v>217</v>
      </c>
      <c r="QX29">
        <f>SUM(QX4:QX28)</f>
        <v>20</v>
      </c>
      <c r="QY29">
        <f t="shared" ref="QY29:RD29" si="175">SUM(QY4:QY28)</f>
        <v>67.058049303637532</v>
      </c>
      <c r="QZ29">
        <f t="shared" si="175"/>
        <v>64</v>
      </c>
      <c r="RA29">
        <f t="shared" si="175"/>
        <v>31</v>
      </c>
      <c r="RB29">
        <f t="shared" si="175"/>
        <v>182.05804930363752</v>
      </c>
      <c r="RC29">
        <f t="shared" si="175"/>
        <v>71</v>
      </c>
      <c r="RD29">
        <f t="shared" si="175"/>
        <v>186</v>
      </c>
      <c r="RG29">
        <f>SUM(RG4:RG28)</f>
        <v>27</v>
      </c>
      <c r="RH29">
        <f t="shared" ref="RH29:RM29" si="176">SUM(RH4:RH28)</f>
        <v>68.123321844993669</v>
      </c>
      <c r="RI29">
        <f t="shared" si="176"/>
        <v>43</v>
      </c>
      <c r="RJ29">
        <f t="shared" si="176"/>
        <v>23</v>
      </c>
      <c r="RK29">
        <f t="shared" si="176"/>
        <v>161.12332184499365</v>
      </c>
      <c r="RL29">
        <f t="shared" si="176"/>
        <v>73.5</v>
      </c>
      <c r="RM29">
        <f t="shared" si="176"/>
        <v>166.5</v>
      </c>
      <c r="RP29">
        <f>SUM(RP4:RP28)</f>
        <v>26</v>
      </c>
      <c r="RQ29">
        <f t="shared" ref="RQ29:RV29" si="177">SUM(RQ4:RQ28)</f>
        <v>65.686597174755065</v>
      </c>
      <c r="RR29">
        <f t="shared" si="177"/>
        <v>39</v>
      </c>
      <c r="RS29">
        <f t="shared" si="177"/>
        <v>36</v>
      </c>
      <c r="RT29">
        <f t="shared" si="177"/>
        <v>166.68659717475506</v>
      </c>
      <c r="RU29">
        <f t="shared" si="177"/>
        <v>68</v>
      </c>
      <c r="RV29">
        <f t="shared" si="177"/>
        <v>169</v>
      </c>
      <c r="RY29">
        <f>SUM(RY4:RY28)</f>
        <v>20</v>
      </c>
      <c r="RZ29">
        <f t="shared" ref="RZ29:SE29" si="178">SUM(RZ4:RZ28)</f>
        <v>69.313095238095229</v>
      </c>
      <c r="SA29">
        <f t="shared" si="178"/>
        <v>64</v>
      </c>
      <c r="SB29">
        <f t="shared" si="178"/>
        <v>47</v>
      </c>
      <c r="SC29">
        <f t="shared" si="178"/>
        <v>200.31309523809526</v>
      </c>
      <c r="SD29">
        <f>SUM(SD4:SD28)</f>
        <v>72.5</v>
      </c>
      <c r="SE29">
        <f t="shared" si="178"/>
        <v>203.5</v>
      </c>
      <c r="SH29">
        <f>SUM(SH4:SH28)</f>
        <v>23</v>
      </c>
      <c r="SI29">
        <f t="shared" ref="SI29:SN29" si="179">SUM(SI4:SI28)</f>
        <v>67</v>
      </c>
      <c r="SJ29">
        <f t="shared" si="179"/>
        <v>42</v>
      </c>
      <c r="SK29">
        <f t="shared" si="179"/>
        <v>28</v>
      </c>
      <c r="SL29">
        <f t="shared" si="179"/>
        <v>160</v>
      </c>
      <c r="SM29">
        <f>SUM(SM4:SM28)</f>
        <v>67</v>
      </c>
      <c r="SN29">
        <f t="shared" si="179"/>
        <v>160</v>
      </c>
      <c r="SQ29">
        <f>SUM(SQ4:SQ28)</f>
        <v>24</v>
      </c>
      <c r="SR29">
        <f t="shared" ref="SR29:SW29" si="180">SUM(SR4:SR28)</f>
        <v>71</v>
      </c>
      <c r="SS29">
        <f t="shared" si="180"/>
        <v>23</v>
      </c>
      <c r="ST29">
        <f t="shared" si="180"/>
        <v>14</v>
      </c>
      <c r="SU29">
        <f t="shared" si="180"/>
        <v>132</v>
      </c>
      <c r="SV29">
        <f t="shared" si="180"/>
        <v>71</v>
      </c>
      <c r="SW29">
        <f t="shared" si="180"/>
        <v>132</v>
      </c>
      <c r="SZ29">
        <f>SUM(SZ4:SZ28)</f>
        <v>17</v>
      </c>
      <c r="TA29">
        <f t="shared" ref="TA29:TF29" si="181">SUM(TA4:TA28)</f>
        <v>62.685714285714283</v>
      </c>
      <c r="TB29">
        <f t="shared" si="181"/>
        <v>37</v>
      </c>
      <c r="TC29">
        <f t="shared" si="181"/>
        <v>16</v>
      </c>
      <c r="TD29">
        <f t="shared" si="181"/>
        <v>132.68571428571428</v>
      </c>
      <c r="TE29">
        <f t="shared" si="181"/>
        <v>64</v>
      </c>
      <c r="TF29">
        <f t="shared" si="181"/>
        <v>134</v>
      </c>
      <c r="TI29">
        <f>SUM(TI4:TI28)</f>
        <v>34</v>
      </c>
      <c r="TJ29">
        <f t="shared" ref="TJ29:TO29" si="182">SUM(TJ4:TJ28)</f>
        <v>74</v>
      </c>
      <c r="TK29">
        <f t="shared" si="182"/>
        <v>73</v>
      </c>
      <c r="TL29">
        <f t="shared" si="182"/>
        <v>60</v>
      </c>
      <c r="TM29">
        <f t="shared" si="182"/>
        <v>241</v>
      </c>
      <c r="TN29">
        <f t="shared" si="182"/>
        <v>74</v>
      </c>
      <c r="TO29">
        <f t="shared" si="182"/>
        <v>241</v>
      </c>
      <c r="TR29">
        <f>SUM(TR4:TR28)</f>
        <v>38</v>
      </c>
      <c r="TS29">
        <f t="shared" ref="TS29:TV29" si="183">SUM(TS4:TS28)</f>
        <v>67.5</v>
      </c>
      <c r="TT29">
        <f t="shared" si="183"/>
        <v>59</v>
      </c>
      <c r="TU29">
        <f t="shared" si="183"/>
        <v>46</v>
      </c>
      <c r="TV29">
        <f t="shared" si="183"/>
        <v>210.5</v>
      </c>
      <c r="TY29">
        <f>SUM(TY4:TY28)</f>
        <v>36</v>
      </c>
      <c r="TZ29">
        <f t="shared" ref="TZ29:UE29" si="184">SUM(TZ4:TZ28)</f>
        <v>63</v>
      </c>
      <c r="UA29">
        <f t="shared" si="184"/>
        <v>34</v>
      </c>
      <c r="UB29">
        <f t="shared" si="184"/>
        <v>22</v>
      </c>
      <c r="UC29">
        <f t="shared" si="184"/>
        <v>155</v>
      </c>
      <c r="UD29">
        <f t="shared" si="184"/>
        <v>63</v>
      </c>
      <c r="UE29">
        <f t="shared" si="184"/>
        <v>155</v>
      </c>
      <c r="UH29">
        <f>SUM(UH4:UH28)</f>
        <v>14</v>
      </c>
      <c r="UI29">
        <f t="shared" ref="UI29:UL29" si="185">SUM(UI4:UI28)</f>
        <v>65.5</v>
      </c>
      <c r="UJ29">
        <f t="shared" si="185"/>
        <v>45</v>
      </c>
      <c r="UK29">
        <f t="shared" si="185"/>
        <v>30</v>
      </c>
      <c r="UL29">
        <f t="shared" si="185"/>
        <v>154.5</v>
      </c>
      <c r="UO29">
        <f>SUM(UO4:UO28)</f>
        <v>26</v>
      </c>
      <c r="UP29">
        <f t="shared" ref="UP29:UU29" si="186">SUM(UP4:UP28)</f>
        <v>63.087581871173199</v>
      </c>
      <c r="UQ29">
        <f t="shared" si="186"/>
        <v>71</v>
      </c>
      <c r="UR29">
        <f t="shared" si="186"/>
        <v>44</v>
      </c>
      <c r="US29">
        <f t="shared" si="186"/>
        <v>204.08758187117317</v>
      </c>
      <c r="UT29">
        <f t="shared" si="186"/>
        <v>64.5</v>
      </c>
      <c r="UU29">
        <f t="shared" si="186"/>
        <v>205.5</v>
      </c>
      <c r="UX29">
        <f>SUM(UX4:UX28)</f>
        <v>30</v>
      </c>
      <c r="UY29">
        <f t="shared" ref="UY29:VD29" si="187">SUM(UY4:UY28)</f>
        <v>69.520164557664557</v>
      </c>
      <c r="UZ29">
        <f t="shared" si="187"/>
        <v>52</v>
      </c>
      <c r="VA29">
        <f t="shared" si="187"/>
        <v>42</v>
      </c>
      <c r="VB29">
        <f t="shared" si="187"/>
        <v>193.52016455766454</v>
      </c>
      <c r="VC29">
        <f t="shared" si="187"/>
        <v>72</v>
      </c>
      <c r="VD29">
        <f t="shared" si="187"/>
        <v>196</v>
      </c>
      <c r="VG29">
        <f>SUM(VG4:VG28)</f>
        <v>33</v>
      </c>
      <c r="VH29">
        <f t="shared" ref="VH29:VM29" si="188">SUM(VH4:VH28)</f>
        <v>64.919444444444423</v>
      </c>
      <c r="VI29">
        <f t="shared" si="188"/>
        <v>53</v>
      </c>
      <c r="VJ29">
        <f t="shared" si="188"/>
        <v>31</v>
      </c>
      <c r="VK29">
        <f t="shared" si="188"/>
        <v>181.91944444444445</v>
      </c>
      <c r="VL29">
        <f t="shared" si="188"/>
        <v>66.5</v>
      </c>
      <c r="VM29">
        <f t="shared" si="188"/>
        <v>183.5</v>
      </c>
      <c r="VP29">
        <f>SUM(VP4:VP28)</f>
        <v>38</v>
      </c>
      <c r="VQ29">
        <f t="shared" ref="VQ29:VV29" si="189">SUM(VQ4:VQ28)</f>
        <v>65.140476190476193</v>
      </c>
      <c r="VR29">
        <f t="shared" si="189"/>
        <v>55</v>
      </c>
      <c r="VS29">
        <f t="shared" si="189"/>
        <v>29</v>
      </c>
      <c r="VT29">
        <f t="shared" si="189"/>
        <v>187.14047619047619</v>
      </c>
      <c r="VU29">
        <f t="shared" si="189"/>
        <v>67</v>
      </c>
      <c r="VV29">
        <f t="shared" si="189"/>
        <v>189</v>
      </c>
    </row>
    <row r="30" spans="2:594" x14ac:dyDescent="0.35">
      <c r="B30" s="14"/>
      <c r="C30" s="14">
        <f t="shared" ref="C30:W30" si="190">AVERAGE(C4:C28)</f>
        <v>0.48</v>
      </c>
      <c r="D30" s="14">
        <f t="shared" si="190"/>
        <v>2.0269430014430014</v>
      </c>
      <c r="E30" s="14">
        <f t="shared" si="190"/>
        <v>1.4</v>
      </c>
      <c r="F30" s="14">
        <f t="shared" si="190"/>
        <v>1.1200000000000001</v>
      </c>
      <c r="G30" s="14">
        <f t="shared" si="190"/>
        <v>5.0269430014430023</v>
      </c>
      <c r="H30" s="14"/>
      <c r="I30" s="14"/>
      <c r="J30" s="14"/>
      <c r="K30" s="14"/>
      <c r="L30" s="14">
        <f t="shared" si="190"/>
        <v>0.72</v>
      </c>
      <c r="M30" s="14">
        <f t="shared" si="190"/>
        <v>2.2501188082070436</v>
      </c>
      <c r="N30" s="14">
        <f t="shared" si="190"/>
        <v>2.12</v>
      </c>
      <c r="O30" s="14">
        <f t="shared" si="190"/>
        <v>1.92</v>
      </c>
      <c r="P30" s="14">
        <f t="shared" si="190"/>
        <v>6.9201140558787619</v>
      </c>
      <c r="Q30" s="14"/>
      <c r="R30" s="14"/>
      <c r="S30" s="14"/>
      <c r="T30" s="14"/>
      <c r="U30" s="14">
        <f t="shared" si="190"/>
        <v>0.76</v>
      </c>
      <c r="V30" s="14">
        <f t="shared" si="190"/>
        <v>2.5348202908202908</v>
      </c>
      <c r="W30" s="14">
        <f t="shared" si="190"/>
        <v>1.72</v>
      </c>
      <c r="X30" s="14">
        <f t="shared" ref="X30" si="191">AVERAGE(X4:X28)</f>
        <v>1.36</v>
      </c>
      <c r="Y30" s="14"/>
      <c r="Z30" s="14">
        <f>AVERAGE(Z4:Z28)</f>
        <v>6.5</v>
      </c>
      <c r="AA30" s="14"/>
      <c r="AB30" s="14"/>
      <c r="AC30" s="14">
        <f t="shared" ref="AC30:CP30" si="192">AVERAGE(AC4:AC28)</f>
        <v>1.2</v>
      </c>
      <c r="AD30" s="14">
        <f t="shared" si="192"/>
        <v>2.3236479076479073</v>
      </c>
      <c r="AE30" s="14">
        <f t="shared" si="192"/>
        <v>2.72</v>
      </c>
      <c r="AF30" s="14">
        <f t="shared" si="192"/>
        <v>2</v>
      </c>
      <c r="AG30" s="14"/>
      <c r="AH30" s="14">
        <f t="shared" si="192"/>
        <v>8.06</v>
      </c>
      <c r="AI30" s="14"/>
      <c r="AJ30" s="14"/>
      <c r="AK30" s="14">
        <f t="shared" si="192"/>
        <v>0.6</v>
      </c>
      <c r="AL30" s="14">
        <f t="shared" si="192"/>
        <v>2.5109523809523808</v>
      </c>
      <c r="AM30" s="14">
        <f t="shared" si="192"/>
        <v>1.52</v>
      </c>
      <c r="AN30" s="14">
        <f t="shared" si="192"/>
        <v>1.4</v>
      </c>
      <c r="AO30" s="14">
        <f t="shared" si="192"/>
        <v>6.03095238095238</v>
      </c>
      <c r="AP30" s="14"/>
      <c r="AQ30" s="14"/>
      <c r="AR30" s="14"/>
      <c r="AS30" s="14"/>
      <c r="AT30" s="14">
        <f t="shared" si="192"/>
        <v>1</v>
      </c>
      <c r="AU30" s="14">
        <f t="shared" si="192"/>
        <v>2.4035873015873022</v>
      </c>
      <c r="AV30" s="14">
        <f t="shared" si="192"/>
        <v>1.88</v>
      </c>
      <c r="AW30" s="14">
        <f t="shared" si="192"/>
        <v>1.24</v>
      </c>
      <c r="AX30" s="14">
        <f t="shared" si="192"/>
        <v>6.5235873015873018</v>
      </c>
      <c r="AY30" s="14"/>
      <c r="AZ30" s="14"/>
      <c r="BA30" s="14"/>
      <c r="BB30" s="14"/>
      <c r="BC30" s="14">
        <f t="shared" si="192"/>
        <v>0.8</v>
      </c>
      <c r="BD30" s="14">
        <f t="shared" si="192"/>
        <v>2.38</v>
      </c>
      <c r="BE30" s="14">
        <f t="shared" si="192"/>
        <v>1.1499999999999999</v>
      </c>
      <c r="BF30" s="14">
        <f t="shared" si="192"/>
        <v>1.2</v>
      </c>
      <c r="BG30" s="14">
        <f t="shared" si="192"/>
        <v>5.6333333333333337</v>
      </c>
      <c r="BH30" s="14"/>
      <c r="BI30" s="14"/>
      <c r="BJ30" s="14"/>
      <c r="BK30" s="14"/>
      <c r="BL30" s="14">
        <f t="shared" ref="BL30:BP30" si="193">AVERAGE(BL4:BL28)</f>
        <v>0.72</v>
      </c>
      <c r="BM30" s="14">
        <f t="shared" si="193"/>
        <v>2.3199999999999998</v>
      </c>
      <c r="BN30" s="14">
        <f t="shared" si="193"/>
        <v>1.64</v>
      </c>
      <c r="BO30" s="14">
        <f t="shared" si="193"/>
        <v>0.48</v>
      </c>
      <c r="BP30" s="14">
        <f t="shared" si="193"/>
        <v>5.16</v>
      </c>
      <c r="BQ30" s="14"/>
      <c r="BR30" s="14"/>
      <c r="BS30" s="14"/>
      <c r="BT30" s="14"/>
      <c r="BU30" s="14">
        <f t="shared" si="192"/>
        <v>1</v>
      </c>
      <c r="BV30" s="14">
        <f t="shared" si="192"/>
        <v>2.12</v>
      </c>
      <c r="BW30" s="14">
        <f t="shared" si="192"/>
        <v>1.1200000000000001</v>
      </c>
      <c r="BX30" s="14">
        <f t="shared" si="192"/>
        <v>1.2</v>
      </c>
      <c r="BY30" s="14">
        <f>AVERAGE(BY4:BY28)</f>
        <v>5.44</v>
      </c>
      <c r="CA30" s="14"/>
      <c r="CB30" s="14"/>
      <c r="CC30" s="14">
        <f t="shared" si="192"/>
        <v>0.96</v>
      </c>
      <c r="CD30" s="14">
        <f t="shared" si="192"/>
        <v>2.38</v>
      </c>
      <c r="CE30" s="14">
        <f t="shared" si="192"/>
        <v>1.64</v>
      </c>
      <c r="CF30" s="14">
        <f t="shared" si="192"/>
        <v>1</v>
      </c>
      <c r="CG30" s="14">
        <f>AVERAGE(CG4:CG28)</f>
        <v>5.98</v>
      </c>
      <c r="CI30" s="14"/>
      <c r="CJ30" s="14"/>
      <c r="CK30" s="14">
        <f t="shared" si="192"/>
        <v>0.96</v>
      </c>
      <c r="CL30" s="14">
        <f t="shared" si="192"/>
        <v>2.5</v>
      </c>
      <c r="CM30" s="14">
        <f t="shared" si="192"/>
        <v>2.12</v>
      </c>
      <c r="CN30" s="14">
        <f t="shared" si="192"/>
        <v>1.76</v>
      </c>
      <c r="CO30" s="14">
        <f t="shared" si="192"/>
        <v>7.34</v>
      </c>
      <c r="CP30" s="14">
        <f t="shared" si="192"/>
        <v>2.5</v>
      </c>
      <c r="CQ30" s="14">
        <f t="shared" ref="CQ30" si="194">AVERAGE(CQ4:CQ28)</f>
        <v>7.34</v>
      </c>
      <c r="CR30" s="14"/>
      <c r="CS30" s="14"/>
      <c r="CT30" s="14">
        <f t="shared" ref="CT30:CY30" si="195">AVERAGE(CT4:CT28)</f>
        <v>1.68</v>
      </c>
      <c r="CU30" s="14">
        <f t="shared" si="195"/>
        <v>2.2000000000000002</v>
      </c>
      <c r="CV30" s="14">
        <f t="shared" si="195"/>
        <v>2.2799999999999998</v>
      </c>
      <c r="CW30" s="14">
        <f t="shared" si="195"/>
        <v>1.68</v>
      </c>
      <c r="CX30" s="14">
        <f t="shared" si="195"/>
        <v>7.84</v>
      </c>
      <c r="CY30" s="14">
        <f t="shared" si="195"/>
        <v>2.2000000000000002</v>
      </c>
      <c r="CZ30" s="14">
        <f>AVERAGE(CZ4:CZ28)</f>
        <v>7.84</v>
      </c>
      <c r="DC30">
        <f t="shared" ref="DC30:DG30" si="196">AVERAGE(DC4:DC28)</f>
        <v>0.6</v>
      </c>
      <c r="DD30">
        <f t="shared" si="196"/>
        <v>2.6069733044733043</v>
      </c>
      <c r="DE30">
        <f t="shared" si="196"/>
        <v>1.96</v>
      </c>
      <c r="DF30">
        <f t="shared" si="196"/>
        <v>0.52</v>
      </c>
      <c r="DG30">
        <f t="shared" si="196"/>
        <v>5.6869733044733053</v>
      </c>
      <c r="DL30">
        <f t="shared" ref="DL30:DP30" si="197">AVERAGE(DL4:DL28)</f>
        <v>0.44</v>
      </c>
      <c r="DM30">
        <f t="shared" si="197"/>
        <v>2.4357884717621561</v>
      </c>
      <c r="DN30">
        <f t="shared" si="197"/>
        <v>2.76</v>
      </c>
      <c r="DO30">
        <f t="shared" si="197"/>
        <v>1.4</v>
      </c>
      <c r="DP30">
        <f t="shared" si="197"/>
        <v>7.0357884717621539</v>
      </c>
      <c r="DU30">
        <f t="shared" ref="DU30:DX30" si="198">AVERAGE(DU4:DU28)</f>
        <v>0.88</v>
      </c>
      <c r="DV30">
        <f t="shared" si="198"/>
        <v>2.2941732807955715</v>
      </c>
      <c r="DW30">
        <f t="shared" si="198"/>
        <v>2.4</v>
      </c>
      <c r="DX30">
        <f t="shared" si="198"/>
        <v>1.08</v>
      </c>
      <c r="DY30">
        <f>AVERAGE(DY4:DY28)</f>
        <v>6.6541732807955718</v>
      </c>
      <c r="ED30">
        <f>AVERAGE(ED4:ED28)</f>
        <v>0.92</v>
      </c>
      <c r="EE30">
        <f>AVERAGE(EE4:EE28)</f>
        <v>2.6267936507936507</v>
      </c>
      <c r="EF30">
        <f>AVERAGE(EF4:EF28)</f>
        <v>1.88</v>
      </c>
      <c r="EG30">
        <f>AVERAGE(EG4:EG28)</f>
        <v>1.1200000000000001</v>
      </c>
      <c r="EH30">
        <f>AVERAGE(EH4:EH28)</f>
        <v>6.5467936507936511</v>
      </c>
      <c r="EL30" s="14"/>
      <c r="EM30" s="14">
        <f t="shared" ref="EM30:ES30" si="199">AVERAGE(EM4:EM28)</f>
        <v>0.48</v>
      </c>
      <c r="EN30" s="14">
        <f t="shared" si="199"/>
        <v>2.070600804424334</v>
      </c>
      <c r="EO30" s="14">
        <f t="shared" si="199"/>
        <v>1.76</v>
      </c>
      <c r="EP30" s="14">
        <f t="shared" si="199"/>
        <v>0.68</v>
      </c>
      <c r="EQ30" s="14">
        <f t="shared" si="199"/>
        <v>4.990600804424334</v>
      </c>
      <c r="ER30" s="14">
        <f t="shared" si="199"/>
        <v>2.06</v>
      </c>
      <c r="ES30" s="14">
        <f t="shared" si="199"/>
        <v>4.9800000000000004</v>
      </c>
      <c r="EU30" s="14"/>
      <c r="EV30" s="14">
        <f t="shared" ref="EV30:FB30" si="200">AVERAGE(EV4:EV28)</f>
        <v>0.8</v>
      </c>
      <c r="EW30" s="14">
        <f t="shared" si="200"/>
        <v>2.3676515663559012</v>
      </c>
      <c r="EX30" s="14">
        <f t="shared" si="200"/>
        <v>1.36</v>
      </c>
      <c r="EY30" s="14">
        <f t="shared" si="200"/>
        <v>0.56000000000000005</v>
      </c>
      <c r="EZ30" s="14">
        <f t="shared" si="200"/>
        <v>5.0876515663558992</v>
      </c>
      <c r="FA30" s="14">
        <f t="shared" si="200"/>
        <v>2.2599999999999998</v>
      </c>
      <c r="FB30" s="14">
        <f t="shared" si="200"/>
        <v>4.9800000000000004</v>
      </c>
      <c r="FD30" s="14"/>
      <c r="FE30" s="14">
        <f t="shared" ref="FE30:FK30" si="201">AVERAGE(FE4:FE28)</f>
        <v>0.32</v>
      </c>
      <c r="FF30" s="14">
        <f t="shared" si="201"/>
        <v>2.8066662226662218</v>
      </c>
      <c r="FG30" s="14">
        <f t="shared" si="201"/>
        <v>0.96</v>
      </c>
      <c r="FH30" s="14">
        <f t="shared" si="201"/>
        <v>0.32</v>
      </c>
      <c r="FI30" s="14">
        <f t="shared" si="201"/>
        <v>4.4066662226662228</v>
      </c>
      <c r="FJ30" s="14">
        <f t="shared" si="201"/>
        <v>2.86</v>
      </c>
      <c r="FK30" s="14">
        <f t="shared" si="201"/>
        <v>4.46</v>
      </c>
      <c r="FM30" s="14"/>
      <c r="FN30" s="14">
        <f t="shared" ref="FN30:FT30" si="202">AVERAGE(FN4:FN28)</f>
        <v>0.96</v>
      </c>
      <c r="FO30" s="14">
        <f t="shared" si="202"/>
        <v>2.6729832389832393</v>
      </c>
      <c r="FP30" s="14">
        <f t="shared" si="202"/>
        <v>2.08</v>
      </c>
      <c r="FQ30" s="14">
        <f t="shared" si="202"/>
        <v>0.84</v>
      </c>
      <c r="FR30" s="14">
        <f t="shared" si="202"/>
        <v>6.5529832389832396</v>
      </c>
      <c r="FS30" s="14">
        <f t="shared" si="202"/>
        <v>2.78</v>
      </c>
      <c r="FT30" s="14">
        <f t="shared" si="202"/>
        <v>6.66</v>
      </c>
      <c r="FV30" s="14"/>
      <c r="FW30" s="14">
        <f t="shared" ref="FW30:GC30" si="203">AVERAGE(FW4:FW28)</f>
        <v>1</v>
      </c>
      <c r="FX30" s="14">
        <f t="shared" si="203"/>
        <v>2.78</v>
      </c>
      <c r="FY30" s="14">
        <f t="shared" si="203"/>
        <v>2.04</v>
      </c>
      <c r="FZ30" s="14">
        <f t="shared" si="203"/>
        <v>1.04</v>
      </c>
      <c r="GA30" s="14">
        <f t="shared" si="203"/>
        <v>6.86</v>
      </c>
      <c r="GB30" s="14">
        <f t="shared" si="203"/>
        <v>2.78</v>
      </c>
      <c r="GC30" s="14">
        <f t="shared" si="203"/>
        <v>6.86</v>
      </c>
      <c r="GE30" s="14"/>
      <c r="GF30" s="14">
        <f t="shared" ref="GF30:GL30" si="204">AVERAGE(GF4:GF28)</f>
        <v>0.76</v>
      </c>
      <c r="GG30" s="14">
        <f t="shared" si="204"/>
        <v>2.92</v>
      </c>
      <c r="GH30" s="14">
        <f t="shared" si="204"/>
        <v>0.8</v>
      </c>
      <c r="GI30" s="14">
        <f t="shared" si="204"/>
        <v>0.32</v>
      </c>
      <c r="GJ30" s="14">
        <f t="shared" si="204"/>
        <v>4.8</v>
      </c>
      <c r="GK30" s="14">
        <f t="shared" si="204"/>
        <v>2.92</v>
      </c>
      <c r="GL30" s="14">
        <f t="shared" si="204"/>
        <v>4.8</v>
      </c>
      <c r="GN30" s="14"/>
      <c r="GO30" s="14">
        <f t="shared" ref="GO30:GU30" si="205">AVERAGE(GO4:GO28)</f>
        <v>1.04</v>
      </c>
      <c r="GP30" s="14">
        <f t="shared" si="205"/>
        <v>2.5733275613275612</v>
      </c>
      <c r="GQ30" s="14">
        <f t="shared" si="205"/>
        <v>0.68</v>
      </c>
      <c r="GR30" s="14">
        <f t="shared" si="205"/>
        <v>0.64</v>
      </c>
      <c r="GS30" s="14">
        <f t="shared" si="205"/>
        <v>4.9333275613275616</v>
      </c>
      <c r="GT30" s="14">
        <f t="shared" si="205"/>
        <v>2.64</v>
      </c>
      <c r="GU30" s="14">
        <f t="shared" si="205"/>
        <v>5</v>
      </c>
      <c r="GW30" s="14"/>
      <c r="GX30" s="14">
        <f t="shared" ref="GX30:HD30" si="206">AVERAGE(GX4:GX28)</f>
        <v>1</v>
      </c>
      <c r="GY30" s="14">
        <f t="shared" si="206"/>
        <v>2.5482857142857145</v>
      </c>
      <c r="GZ30" s="14">
        <f t="shared" si="206"/>
        <v>1.76</v>
      </c>
      <c r="HA30" s="14">
        <f t="shared" si="206"/>
        <v>1.2</v>
      </c>
      <c r="HB30" s="14">
        <f t="shared" si="206"/>
        <v>6.5082857142857131</v>
      </c>
      <c r="HC30" s="14">
        <f t="shared" si="206"/>
        <v>2.6</v>
      </c>
      <c r="HD30" s="14">
        <f t="shared" si="206"/>
        <v>6.56</v>
      </c>
      <c r="HG30">
        <f>AVERAGE(HG4:HG28)</f>
        <v>0.32</v>
      </c>
      <c r="HH30">
        <f t="shared" ref="HH30:HM30" si="207">AVERAGE(HH4:HH28)</f>
        <v>2.7406168831168829</v>
      </c>
      <c r="HI30">
        <f t="shared" si="207"/>
        <v>2.3199999999999998</v>
      </c>
      <c r="HJ30">
        <f t="shared" si="207"/>
        <v>1.08</v>
      </c>
      <c r="HK30">
        <f t="shared" si="207"/>
        <v>6.4606168831168818</v>
      </c>
      <c r="HL30">
        <f t="shared" si="207"/>
        <v>2.88</v>
      </c>
      <c r="HM30">
        <f t="shared" si="207"/>
        <v>6.6</v>
      </c>
      <c r="HP30">
        <f>AVERAGE(HP4:HP28)</f>
        <v>0.88</v>
      </c>
      <c r="HQ30">
        <f t="shared" ref="HQ30:HV30" si="208">AVERAGE(HQ4:HQ28)</f>
        <v>2.5060450660450666</v>
      </c>
      <c r="HR30">
        <f t="shared" si="208"/>
        <v>2.4</v>
      </c>
      <c r="HS30">
        <f t="shared" si="208"/>
        <v>1.52</v>
      </c>
      <c r="HT30">
        <f t="shared" si="208"/>
        <v>7.3060450660450673</v>
      </c>
      <c r="HU30">
        <f t="shared" si="208"/>
        <v>2.56</v>
      </c>
      <c r="HV30">
        <f t="shared" si="208"/>
        <v>7.36</v>
      </c>
      <c r="HY30">
        <f>AVERAGE(HY4:HY28)</f>
        <v>0.24</v>
      </c>
      <c r="HZ30">
        <f t="shared" ref="HZ30:IB30" si="209">AVERAGE(HZ4:HZ28)</f>
        <v>2.4</v>
      </c>
      <c r="IA30">
        <f t="shared" si="209"/>
        <v>1.625</v>
      </c>
      <c r="IB30">
        <f t="shared" si="209"/>
        <v>0.96</v>
      </c>
      <c r="IC30">
        <f>AVERAGE(IC4:IC28)</f>
        <v>5.16</v>
      </c>
      <c r="ID30">
        <f>AVERAGE(ID4:ID28)</f>
        <v>2.4</v>
      </c>
      <c r="IE30">
        <f>AVERAGE(IE4:IE28)</f>
        <v>5.16</v>
      </c>
      <c r="IH30">
        <f>AVERAGE(IH4:IH28)</f>
        <v>0.48</v>
      </c>
      <c r="II30">
        <f t="shared" ref="II30:IN30" si="210">AVERAGE(II4:II28)</f>
        <v>2.86</v>
      </c>
      <c r="IJ30">
        <f t="shared" si="210"/>
        <v>1</v>
      </c>
      <c r="IK30">
        <f t="shared" si="210"/>
        <v>0.48</v>
      </c>
      <c r="IL30">
        <f t="shared" si="210"/>
        <v>4.82</v>
      </c>
      <c r="IM30">
        <f t="shared" si="210"/>
        <v>2.86</v>
      </c>
      <c r="IN30">
        <f t="shared" si="210"/>
        <v>4.82</v>
      </c>
      <c r="IQ30">
        <f>AVERAGE(IQ4:IQ28)</f>
        <v>0.68</v>
      </c>
      <c r="IR30">
        <f t="shared" ref="IR30:IW30" si="211">AVERAGE(IR4:IR28)</f>
        <v>2.8451688311688308</v>
      </c>
      <c r="IS30">
        <f t="shared" si="211"/>
        <v>1.9166666666666667</v>
      </c>
      <c r="IT30">
        <f t="shared" si="211"/>
        <v>1.28</v>
      </c>
      <c r="IU30">
        <f t="shared" si="211"/>
        <v>6.6451688311688306</v>
      </c>
      <c r="IV30">
        <f t="shared" si="211"/>
        <v>3</v>
      </c>
      <c r="IW30">
        <f t="shared" si="211"/>
        <v>6.8</v>
      </c>
      <c r="IZ30">
        <f>AVERAGE(IZ4:IZ28)</f>
        <v>0.78260869565217395</v>
      </c>
      <c r="JA30">
        <f t="shared" ref="JA30:JF30" si="212">AVERAGE(JA4:JA28)</f>
        <v>2.8506002886002881</v>
      </c>
      <c r="JB30">
        <f t="shared" si="212"/>
        <v>2.44</v>
      </c>
      <c r="JC30">
        <f t="shared" si="212"/>
        <v>1.36</v>
      </c>
      <c r="JD30">
        <f t="shared" si="212"/>
        <v>7.370600288600289</v>
      </c>
      <c r="JE30">
        <f t="shared" si="212"/>
        <v>3</v>
      </c>
      <c r="JF30">
        <f t="shared" si="212"/>
        <v>7.52</v>
      </c>
      <c r="JI30">
        <f>AVERAGE(JI4:JI28)</f>
        <v>0.48</v>
      </c>
      <c r="JJ30">
        <f t="shared" ref="JJ30:JO30" si="213">AVERAGE(JJ4:JJ28)</f>
        <v>2.94</v>
      </c>
      <c r="JK30">
        <f t="shared" si="213"/>
        <v>2.56</v>
      </c>
      <c r="JL30">
        <f t="shared" si="213"/>
        <v>1.8</v>
      </c>
      <c r="JM30">
        <f t="shared" si="213"/>
        <v>7.78</v>
      </c>
      <c r="JN30">
        <f t="shared" si="213"/>
        <v>2.94</v>
      </c>
      <c r="JO30">
        <f t="shared" si="213"/>
        <v>7.78</v>
      </c>
      <c r="JR30">
        <f>AVERAGE(JR4:JR28)</f>
        <v>0.28000000000000003</v>
      </c>
      <c r="JS30">
        <f t="shared" ref="JS30:JX30" si="214">AVERAGE(JS4:JS28)</f>
        <v>2.82</v>
      </c>
      <c r="JT30">
        <f t="shared" si="214"/>
        <v>0.64</v>
      </c>
      <c r="JU30">
        <f t="shared" si="214"/>
        <v>0.8</v>
      </c>
      <c r="JV30">
        <f t="shared" si="214"/>
        <v>4.54</v>
      </c>
      <c r="JW30">
        <f t="shared" si="214"/>
        <v>2.82</v>
      </c>
      <c r="JX30">
        <f t="shared" si="214"/>
        <v>4.54</v>
      </c>
      <c r="KA30">
        <f>AVERAGE(KA4:KA28)</f>
        <v>0.2</v>
      </c>
      <c r="KB30">
        <f t="shared" ref="KB30:KG30" si="215">AVERAGE(KB4:KB28)</f>
        <v>2.8081021201021201</v>
      </c>
      <c r="KC30">
        <f t="shared" si="215"/>
        <v>0.92</v>
      </c>
      <c r="KD30">
        <f t="shared" si="215"/>
        <v>0.84</v>
      </c>
      <c r="KE30">
        <f t="shared" si="215"/>
        <v>4.768102120102121</v>
      </c>
      <c r="KF30">
        <f t="shared" si="215"/>
        <v>2.96</v>
      </c>
      <c r="KG30">
        <f t="shared" si="215"/>
        <v>4.92</v>
      </c>
      <c r="KJ30">
        <f>AVERAGE(KJ4:KJ28)</f>
        <v>0.52</v>
      </c>
      <c r="KK30">
        <f t="shared" ref="KK30:KP30" si="216">AVERAGE(KK4:KK28)</f>
        <v>2.66550011426482</v>
      </c>
      <c r="KL30">
        <f t="shared" si="216"/>
        <v>2.36</v>
      </c>
      <c r="KM30">
        <f t="shared" si="216"/>
        <v>0.92</v>
      </c>
      <c r="KN30">
        <f t="shared" si="216"/>
        <v>6.4655001142648203</v>
      </c>
      <c r="KO30">
        <f t="shared" si="216"/>
        <v>2.9</v>
      </c>
      <c r="KP30">
        <f t="shared" si="216"/>
        <v>6.7</v>
      </c>
      <c r="KS30">
        <f>AVERAGE(KS4:KS28)</f>
        <v>1.2</v>
      </c>
      <c r="KT30">
        <f t="shared" ref="KT30:KY30" si="217">AVERAGE(KT4:KT28)</f>
        <v>2.7327229437229437</v>
      </c>
      <c r="KU30">
        <f t="shared" si="217"/>
        <v>2.8095238095238093</v>
      </c>
      <c r="KV30">
        <f t="shared" si="217"/>
        <v>2.56</v>
      </c>
      <c r="KW30">
        <f t="shared" si="217"/>
        <v>8.8527229437229433</v>
      </c>
      <c r="KX30">
        <f t="shared" si="217"/>
        <v>2.86</v>
      </c>
      <c r="KY30">
        <f t="shared" si="217"/>
        <v>8.98</v>
      </c>
      <c r="LB30">
        <f>AVERAGE(LB4:LB28)</f>
        <v>1.2</v>
      </c>
      <c r="LC30">
        <f t="shared" ref="LC30:LH30" si="218">AVERAGE(LC4:LC28)</f>
        <v>2.6500708180708177</v>
      </c>
      <c r="LD30">
        <f t="shared" si="218"/>
        <v>2.3913043478260869</v>
      </c>
      <c r="LE30">
        <f t="shared" si="218"/>
        <v>2.48</v>
      </c>
      <c r="LF30">
        <f t="shared" si="218"/>
        <v>8.5300708180708185</v>
      </c>
      <c r="LG30">
        <f t="shared" si="218"/>
        <v>2.82</v>
      </c>
      <c r="LH30">
        <f t="shared" si="218"/>
        <v>8.6999999999999993</v>
      </c>
      <c r="LL30">
        <f>AVERAGE(LL4:LL28)</f>
        <v>0.2</v>
      </c>
      <c r="LM30">
        <f t="shared" ref="LM30:LR30" si="219">AVERAGE(LM4:LM28)</f>
        <v>2.5685723622782448</v>
      </c>
      <c r="LN30">
        <f t="shared" si="219"/>
        <v>2.2000000000000002</v>
      </c>
      <c r="LO30">
        <f t="shared" si="219"/>
        <v>1.28</v>
      </c>
      <c r="LP30">
        <f t="shared" si="219"/>
        <v>6.2485723622782459</v>
      </c>
      <c r="LQ30">
        <f t="shared" si="219"/>
        <v>2.68</v>
      </c>
      <c r="LR30">
        <f t="shared" si="219"/>
        <v>6.36</v>
      </c>
      <c r="LU30">
        <f>AVERAGE(LU4:LU28)</f>
        <v>0.88</v>
      </c>
      <c r="LV30">
        <f t="shared" ref="LV30:MA30" si="220">AVERAGE(LV4:LV28)</f>
        <v>2.7690926916221033</v>
      </c>
      <c r="LW30">
        <f t="shared" si="220"/>
        <v>1.88</v>
      </c>
      <c r="LX30">
        <f t="shared" si="220"/>
        <v>1.04</v>
      </c>
      <c r="LY30">
        <f t="shared" si="220"/>
        <v>6.5690926916221031</v>
      </c>
      <c r="LZ30">
        <f t="shared" si="220"/>
        <v>2.96</v>
      </c>
      <c r="MA30">
        <f t="shared" si="220"/>
        <v>6.76</v>
      </c>
      <c r="MD30">
        <f>AVERAGE(MD4:MD28)</f>
        <v>0.76</v>
      </c>
      <c r="ME30">
        <f t="shared" ref="ME30:MJ30" si="221">AVERAGE(ME4:ME28)</f>
        <v>2.7330202344095538</v>
      </c>
      <c r="MF30">
        <f t="shared" si="221"/>
        <v>2.3199999999999998</v>
      </c>
      <c r="MG30">
        <f t="shared" si="221"/>
        <v>1.4</v>
      </c>
      <c r="MH30">
        <f t="shared" si="221"/>
        <v>7.2130202344095524</v>
      </c>
      <c r="MI30">
        <f t="shared" si="221"/>
        <v>2.8</v>
      </c>
      <c r="MJ30">
        <f t="shared" si="221"/>
        <v>7.28</v>
      </c>
      <c r="MM30">
        <f>AVERAGE(MM4:MM28)</f>
        <v>1.08</v>
      </c>
      <c r="MN30">
        <f t="shared" ref="MN30:MS30" si="222">AVERAGE(MN4:MN28)</f>
        <v>2.8917349108064276</v>
      </c>
      <c r="MO30">
        <f t="shared" si="222"/>
        <v>2.44</v>
      </c>
      <c r="MP30">
        <f t="shared" si="222"/>
        <v>1.2</v>
      </c>
      <c r="MQ30">
        <f t="shared" si="222"/>
        <v>7.6117349108064278</v>
      </c>
      <c r="MR30">
        <f t="shared" si="222"/>
        <v>3</v>
      </c>
      <c r="MS30">
        <f t="shared" si="222"/>
        <v>7.72</v>
      </c>
      <c r="MV30">
        <f>AVERAGE(MV4:MV28)</f>
        <v>1.24</v>
      </c>
      <c r="MW30">
        <f t="shared" ref="MW30:NB30" si="223">AVERAGE(MW4:MW28)</f>
        <v>2.72</v>
      </c>
      <c r="MX30">
        <f t="shared" si="223"/>
        <v>1.96</v>
      </c>
      <c r="MY30">
        <f t="shared" si="223"/>
        <v>1.2</v>
      </c>
      <c r="MZ30">
        <f t="shared" si="223"/>
        <v>7.12</v>
      </c>
      <c r="NA30">
        <f t="shared" si="223"/>
        <v>2.72</v>
      </c>
      <c r="NB30">
        <f t="shared" si="223"/>
        <v>7.12</v>
      </c>
      <c r="NE30">
        <f>AVERAGE(NE4:NE28)</f>
        <v>0.72</v>
      </c>
      <c r="NF30">
        <f t="shared" ref="NF30:NK30" si="224">AVERAGE(NF4:NF28)</f>
        <v>2.62</v>
      </c>
      <c r="NG30">
        <f t="shared" si="224"/>
        <v>1.8</v>
      </c>
      <c r="NH30">
        <f t="shared" si="224"/>
        <v>1.1599999999999999</v>
      </c>
      <c r="NI30">
        <f t="shared" si="224"/>
        <v>6.3</v>
      </c>
      <c r="NJ30">
        <f t="shared" si="224"/>
        <v>2.62</v>
      </c>
      <c r="NK30">
        <f t="shared" si="224"/>
        <v>6.3</v>
      </c>
      <c r="NN30">
        <f>AVERAGE(NN4:NN28)</f>
        <v>0.88</v>
      </c>
      <c r="NO30">
        <f t="shared" ref="NO30:NT30" si="225">AVERAGE(NO4:NO28)</f>
        <v>2.8136786775316183</v>
      </c>
      <c r="NP30">
        <f t="shared" si="225"/>
        <v>1.6</v>
      </c>
      <c r="NQ30">
        <f t="shared" si="225"/>
        <v>1.1200000000000001</v>
      </c>
      <c r="NR30">
        <f t="shared" si="225"/>
        <v>6.4136786775316192</v>
      </c>
      <c r="NS30">
        <f t="shared" si="225"/>
        <v>2.92</v>
      </c>
      <c r="NT30">
        <f t="shared" si="225"/>
        <v>6.52</v>
      </c>
      <c r="NW30">
        <f>AVERAGE(NW4:NW28)</f>
        <v>1.36</v>
      </c>
      <c r="NX30">
        <f t="shared" ref="NX30:OC30" si="226">AVERAGE(NX4:NX28)</f>
        <v>2.9201433240037353</v>
      </c>
      <c r="NY30">
        <f t="shared" si="226"/>
        <v>2.7391304347826089</v>
      </c>
      <c r="NZ30">
        <f t="shared" si="226"/>
        <v>1.84</v>
      </c>
      <c r="OA30">
        <f t="shared" si="226"/>
        <v>8.640143324003736</v>
      </c>
      <c r="OB30">
        <f t="shared" si="226"/>
        <v>3</v>
      </c>
      <c r="OC30">
        <f t="shared" si="226"/>
        <v>8.7200000000000006</v>
      </c>
      <c r="OF30">
        <f>AVERAGE(OF4:OF28)</f>
        <v>1.1200000000000001</v>
      </c>
      <c r="OG30">
        <f t="shared" ref="OG30:OL30" si="227">AVERAGE(OG4:OG28)</f>
        <v>3</v>
      </c>
      <c r="OH30">
        <f t="shared" si="227"/>
        <v>2.4</v>
      </c>
      <c r="OI30">
        <f t="shared" si="227"/>
        <v>1.36</v>
      </c>
      <c r="OJ30">
        <f t="shared" si="227"/>
        <v>7.88</v>
      </c>
      <c r="OK30">
        <f t="shared" si="227"/>
        <v>3</v>
      </c>
      <c r="OL30">
        <f t="shared" si="227"/>
        <v>7.88</v>
      </c>
      <c r="OO30">
        <f>AVERAGE(OO4:OO28)</f>
        <v>1.28</v>
      </c>
      <c r="OP30">
        <f t="shared" ref="OP30:OU30" si="228">AVERAGE(OP4:OP28)</f>
        <v>3</v>
      </c>
      <c r="OQ30">
        <f t="shared" si="228"/>
        <v>1.56</v>
      </c>
      <c r="OR30">
        <f t="shared" si="228"/>
        <v>1.08</v>
      </c>
      <c r="OS30">
        <f t="shared" si="228"/>
        <v>6.92</v>
      </c>
      <c r="OT30">
        <f t="shared" si="228"/>
        <v>3</v>
      </c>
      <c r="OU30">
        <f t="shared" si="228"/>
        <v>6.92</v>
      </c>
      <c r="OX30">
        <f>AVERAGE(OX4:OX28)</f>
        <v>0.56000000000000005</v>
      </c>
      <c r="OY30">
        <f t="shared" ref="OY30:PD30" si="229">AVERAGE(OY4:OY28)</f>
        <v>2.3262100122100127</v>
      </c>
      <c r="OZ30">
        <f t="shared" si="229"/>
        <v>2.16</v>
      </c>
      <c r="PA30">
        <f t="shared" si="229"/>
        <v>1.1599999999999999</v>
      </c>
      <c r="PB30">
        <f t="shared" si="229"/>
        <v>6.206210012210013</v>
      </c>
      <c r="PC30">
        <f t="shared" si="229"/>
        <v>2.2599999999999998</v>
      </c>
      <c r="PD30">
        <f t="shared" si="229"/>
        <v>6.14</v>
      </c>
      <c r="PG30">
        <f>AVERAGE(PG4:PG28)</f>
        <v>1.1200000000000001</v>
      </c>
      <c r="PH30">
        <f t="shared" ref="PH30:PM30" si="230">AVERAGE(PH4:PH28)</f>
        <v>2.3413492063492058</v>
      </c>
      <c r="PI30">
        <f t="shared" si="230"/>
        <v>1.36</v>
      </c>
      <c r="PJ30">
        <f t="shared" si="230"/>
        <v>0.88</v>
      </c>
      <c r="PK30">
        <f t="shared" si="230"/>
        <v>5.7013492063492084</v>
      </c>
      <c r="PL30">
        <f t="shared" si="230"/>
        <v>2.46</v>
      </c>
      <c r="PM30">
        <f t="shared" si="230"/>
        <v>5.82</v>
      </c>
      <c r="PP30">
        <f>AVERAGE(PP4:PP28)</f>
        <v>0.32</v>
      </c>
      <c r="PQ30">
        <f t="shared" ref="PQ30:PT30" si="231">AVERAGE(PQ4:PQ28)</f>
        <v>2.14</v>
      </c>
      <c r="PR30">
        <f t="shared" si="231"/>
        <v>1.56</v>
      </c>
      <c r="PS30">
        <f t="shared" si="231"/>
        <v>0.72</v>
      </c>
      <c r="PT30">
        <f t="shared" si="231"/>
        <v>4.74</v>
      </c>
      <c r="PW30">
        <f>AVERAGE(PW4:PW28)</f>
        <v>1.1599999999999999</v>
      </c>
      <c r="PX30">
        <f t="shared" ref="PX30:QC30" si="232">AVERAGE(PX4:PX28)</f>
        <v>2.62</v>
      </c>
      <c r="PY30">
        <f t="shared" si="232"/>
        <v>1.68</v>
      </c>
      <c r="PZ30">
        <f t="shared" si="232"/>
        <v>1</v>
      </c>
      <c r="QA30">
        <f t="shared" si="232"/>
        <v>6.46</v>
      </c>
      <c r="QB30">
        <f t="shared" si="232"/>
        <v>2.62</v>
      </c>
      <c r="QC30">
        <f t="shared" si="232"/>
        <v>6.46</v>
      </c>
      <c r="QF30">
        <f>AVERAGE(QF4:QF28)</f>
        <v>0.24</v>
      </c>
      <c r="QG30">
        <f t="shared" ref="QG30:QL30" si="233">AVERAGE(QG4:QG28)</f>
        <v>2.6666666666666665</v>
      </c>
      <c r="QH30">
        <f t="shared" si="233"/>
        <v>0.8</v>
      </c>
      <c r="QI30">
        <f t="shared" si="233"/>
        <v>0.64</v>
      </c>
      <c r="QJ30">
        <f t="shared" si="233"/>
        <v>4.24</v>
      </c>
      <c r="QK30">
        <f t="shared" si="233"/>
        <v>2.6666666666666665</v>
      </c>
      <c r="QL30">
        <f t="shared" si="233"/>
        <v>4.24</v>
      </c>
      <c r="QO30">
        <f>AVERAGE(QO4:QO28)</f>
        <v>1.52</v>
      </c>
      <c r="QP30">
        <f t="shared" ref="QP30:QU30" si="234">AVERAGE(QP4:QP28)</f>
        <v>2.76</v>
      </c>
      <c r="QQ30">
        <f t="shared" si="234"/>
        <v>2.56</v>
      </c>
      <c r="QR30">
        <f t="shared" si="234"/>
        <v>1.84</v>
      </c>
      <c r="QS30">
        <f t="shared" si="234"/>
        <v>8.68</v>
      </c>
      <c r="QT30">
        <f t="shared" si="234"/>
        <v>2.76</v>
      </c>
      <c r="QU30">
        <f t="shared" si="234"/>
        <v>8.68</v>
      </c>
      <c r="QX30">
        <f>AVERAGE(QX4:QX28)</f>
        <v>0.8</v>
      </c>
      <c r="QY30">
        <f t="shared" ref="QY30:RD30" si="235">AVERAGE(QY4:QY28)</f>
        <v>2.6823219721455014</v>
      </c>
      <c r="QZ30">
        <f t="shared" si="235"/>
        <v>2.56</v>
      </c>
      <c r="RA30">
        <f t="shared" si="235"/>
        <v>1.24</v>
      </c>
      <c r="RB30">
        <f t="shared" si="235"/>
        <v>7.2823219721455006</v>
      </c>
      <c r="RC30">
        <f t="shared" si="235"/>
        <v>2.84</v>
      </c>
      <c r="RD30">
        <f t="shared" si="235"/>
        <v>7.44</v>
      </c>
      <c r="RG30">
        <f>AVERAGE(RG4:RG28)</f>
        <v>1.08</v>
      </c>
      <c r="RH30">
        <f t="shared" ref="RH30:RM30" si="236">AVERAGE(RH4:RH28)</f>
        <v>2.7249328737997467</v>
      </c>
      <c r="RI30">
        <f t="shared" si="236"/>
        <v>1.72</v>
      </c>
      <c r="RJ30">
        <f t="shared" si="236"/>
        <v>0.92</v>
      </c>
      <c r="RK30">
        <f t="shared" si="236"/>
        <v>6.444932873799746</v>
      </c>
      <c r="RL30">
        <f t="shared" si="236"/>
        <v>2.94</v>
      </c>
      <c r="RM30">
        <f t="shared" si="236"/>
        <v>6.66</v>
      </c>
      <c r="RP30">
        <f>AVERAGE(RP4:RP28)</f>
        <v>1.04</v>
      </c>
      <c r="RQ30">
        <f t="shared" ref="RQ30:RV30" si="237">AVERAGE(RQ4:RQ28)</f>
        <v>2.6274638869902027</v>
      </c>
      <c r="RR30">
        <f t="shared" si="237"/>
        <v>1.56</v>
      </c>
      <c r="RS30">
        <f t="shared" si="237"/>
        <v>1.44</v>
      </c>
      <c r="RT30">
        <f t="shared" si="237"/>
        <v>6.6674638869902028</v>
      </c>
      <c r="RU30">
        <f t="shared" si="237"/>
        <v>2.72</v>
      </c>
      <c r="RV30">
        <f t="shared" si="237"/>
        <v>6.76</v>
      </c>
      <c r="RY30">
        <f>AVERAGE(RY4:RY28)</f>
        <v>0.8</v>
      </c>
      <c r="RZ30">
        <f t="shared" ref="RZ30:SE30" si="238">AVERAGE(RZ4:RZ28)</f>
        <v>2.7725238095238094</v>
      </c>
      <c r="SA30">
        <f t="shared" si="238"/>
        <v>2.56</v>
      </c>
      <c r="SB30">
        <f t="shared" si="238"/>
        <v>1.88</v>
      </c>
      <c r="SC30">
        <f t="shared" si="238"/>
        <v>8.0125238095238096</v>
      </c>
      <c r="SD30">
        <f t="shared" si="238"/>
        <v>2.9</v>
      </c>
      <c r="SE30">
        <f t="shared" si="238"/>
        <v>8.14</v>
      </c>
      <c r="SH30">
        <f>AVERAGE(SH4:SH28)</f>
        <v>0.92</v>
      </c>
      <c r="SI30">
        <f t="shared" ref="SI30:SN30" si="239">AVERAGE(SI4:SI28)</f>
        <v>2.68</v>
      </c>
      <c r="SJ30">
        <f t="shared" si="239"/>
        <v>1.68</v>
      </c>
      <c r="SK30">
        <f t="shared" si="239"/>
        <v>1.1200000000000001</v>
      </c>
      <c r="SL30">
        <f t="shared" si="239"/>
        <v>6.4</v>
      </c>
      <c r="SM30">
        <f t="shared" si="239"/>
        <v>2.68</v>
      </c>
      <c r="SN30">
        <f t="shared" si="239"/>
        <v>6.4</v>
      </c>
      <c r="SQ30">
        <f>AVERAGE(SQ4:SQ28)</f>
        <v>0.96</v>
      </c>
      <c r="SR30">
        <f t="shared" ref="SR30:SW30" si="240">AVERAGE(SR4:SR28)</f>
        <v>2.84</v>
      </c>
      <c r="SS30">
        <f t="shared" si="240"/>
        <v>0.92</v>
      </c>
      <c r="ST30">
        <f t="shared" si="240"/>
        <v>0.56000000000000005</v>
      </c>
      <c r="SU30">
        <f t="shared" si="240"/>
        <v>5.28</v>
      </c>
      <c r="SV30">
        <f t="shared" si="240"/>
        <v>2.84</v>
      </c>
      <c r="SW30">
        <f t="shared" si="240"/>
        <v>5.28</v>
      </c>
      <c r="SZ30">
        <f>AVERAGE(SZ4:SZ28)</f>
        <v>0.68</v>
      </c>
      <c r="TA30">
        <f t="shared" ref="TA30:TF30" si="241">AVERAGE(TA4:TA28)</f>
        <v>2.5074285714285711</v>
      </c>
      <c r="TB30">
        <f t="shared" si="241"/>
        <v>1.48</v>
      </c>
      <c r="TC30">
        <f t="shared" si="241"/>
        <v>0.64</v>
      </c>
      <c r="TD30">
        <f t="shared" si="241"/>
        <v>5.3074285714285709</v>
      </c>
      <c r="TE30">
        <f t="shared" si="241"/>
        <v>2.56</v>
      </c>
      <c r="TF30">
        <f t="shared" si="241"/>
        <v>5.36</v>
      </c>
      <c r="TI30">
        <f>AVERAGE(TI4:TI28)</f>
        <v>1.36</v>
      </c>
      <c r="TJ30">
        <f t="shared" ref="TJ30:TO30" si="242">AVERAGE(TJ4:TJ28)</f>
        <v>2.96</v>
      </c>
      <c r="TK30">
        <f t="shared" si="242"/>
        <v>2.92</v>
      </c>
      <c r="TL30">
        <f t="shared" si="242"/>
        <v>2.4</v>
      </c>
      <c r="TM30">
        <f t="shared" si="242"/>
        <v>9.64</v>
      </c>
      <c r="TN30">
        <f t="shared" si="242"/>
        <v>2.96</v>
      </c>
      <c r="TO30">
        <f t="shared" si="242"/>
        <v>9.64</v>
      </c>
      <c r="TR30">
        <f>AVERAGE(TR4:TR28)</f>
        <v>1.52</v>
      </c>
      <c r="TS30">
        <f t="shared" ref="TS30:TV30" si="243">AVERAGE(TS4:TS28)</f>
        <v>2.7</v>
      </c>
      <c r="TT30">
        <f t="shared" si="243"/>
        <v>2.36</v>
      </c>
      <c r="TU30">
        <f t="shared" si="243"/>
        <v>1.84</v>
      </c>
      <c r="TV30">
        <f t="shared" si="243"/>
        <v>8.42</v>
      </c>
      <c r="TY30">
        <f>AVERAGE(TY4:TY28)</f>
        <v>1.44</v>
      </c>
      <c r="TZ30">
        <f t="shared" ref="TZ30:UE30" si="244">AVERAGE(TZ4:TZ28)</f>
        <v>2.52</v>
      </c>
      <c r="UA30">
        <f t="shared" si="244"/>
        <v>1.36</v>
      </c>
      <c r="UB30">
        <f t="shared" si="244"/>
        <v>0.88</v>
      </c>
      <c r="UC30">
        <f t="shared" si="244"/>
        <v>6.2</v>
      </c>
      <c r="UD30">
        <f t="shared" si="244"/>
        <v>2.52</v>
      </c>
      <c r="UE30">
        <f t="shared" si="244"/>
        <v>6.2</v>
      </c>
      <c r="UH30">
        <f>AVERAGE(UH4:UH28)</f>
        <v>0.56000000000000005</v>
      </c>
      <c r="UI30">
        <f t="shared" ref="UI30:UL30" si="245">AVERAGE(UI4:UI28)</f>
        <v>2.62</v>
      </c>
      <c r="UJ30">
        <f t="shared" si="245"/>
        <v>1.8</v>
      </c>
      <c r="UK30">
        <f t="shared" si="245"/>
        <v>1.2</v>
      </c>
      <c r="UL30">
        <f t="shared" si="245"/>
        <v>6.18</v>
      </c>
      <c r="UO30">
        <f>AVERAGE(UO4:UO28)</f>
        <v>1.04</v>
      </c>
      <c r="UP30">
        <f t="shared" ref="UP30:UU30" si="246">AVERAGE(UP4:UP28)</f>
        <v>2.5235032748469282</v>
      </c>
      <c r="UQ30">
        <f t="shared" si="246"/>
        <v>2.84</v>
      </c>
      <c r="UR30">
        <f t="shared" si="246"/>
        <v>1.76</v>
      </c>
      <c r="US30">
        <f t="shared" si="246"/>
        <v>8.1635032748469261</v>
      </c>
      <c r="UT30">
        <f t="shared" si="246"/>
        <v>2.58</v>
      </c>
      <c r="UU30">
        <f t="shared" si="246"/>
        <v>8.2200000000000006</v>
      </c>
      <c r="UX30">
        <f>AVERAGE(UX4:UX28)</f>
        <v>1.2</v>
      </c>
      <c r="UY30">
        <f t="shared" ref="UY30:VD30" si="247">AVERAGE(UY4:UY28)</f>
        <v>2.7808065823065822</v>
      </c>
      <c r="UZ30">
        <f t="shared" si="247"/>
        <v>2.08</v>
      </c>
      <c r="VA30">
        <f t="shared" si="247"/>
        <v>1.68</v>
      </c>
      <c r="VB30">
        <f t="shared" si="247"/>
        <v>7.7408065823065817</v>
      </c>
      <c r="VC30">
        <f t="shared" si="247"/>
        <v>2.88</v>
      </c>
      <c r="VD30">
        <f t="shared" si="247"/>
        <v>7.84</v>
      </c>
      <c r="VG30">
        <f>AVERAGE(VG4:VG28)</f>
        <v>1.32</v>
      </c>
      <c r="VH30">
        <f t="shared" ref="VH30:VM30" si="248">AVERAGE(VH4:VH28)</f>
        <v>2.7049768518518511</v>
      </c>
      <c r="VI30">
        <f t="shared" si="248"/>
        <v>2.12</v>
      </c>
      <c r="VJ30">
        <f t="shared" si="248"/>
        <v>1.24</v>
      </c>
      <c r="VK30">
        <f t="shared" si="248"/>
        <v>7.2767777777777782</v>
      </c>
      <c r="VL30">
        <f t="shared" si="248"/>
        <v>2.7708333333333335</v>
      </c>
      <c r="VM30">
        <f t="shared" si="248"/>
        <v>7.34</v>
      </c>
      <c r="VP30">
        <f>AVERAGE(VP4:VP28)</f>
        <v>1.52</v>
      </c>
      <c r="VQ30">
        <f t="shared" ref="VQ30:VV30" si="249">AVERAGE(VQ4:VQ28)</f>
        <v>2.6056190476190477</v>
      </c>
      <c r="VR30">
        <f t="shared" si="249"/>
        <v>2.2000000000000002</v>
      </c>
      <c r="VS30">
        <f t="shared" si="249"/>
        <v>1.1599999999999999</v>
      </c>
      <c r="VT30">
        <f t="shared" si="249"/>
        <v>7.4856190476190481</v>
      </c>
      <c r="VU30">
        <f t="shared" si="249"/>
        <v>2.68</v>
      </c>
      <c r="VV30">
        <f t="shared" si="249"/>
        <v>7.56</v>
      </c>
    </row>
    <row r="31" spans="2:594" x14ac:dyDescent="0.35"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</row>
    <row r="32" spans="2:594" x14ac:dyDescent="0.35">
      <c r="G32" s="75"/>
      <c r="H32" t="s">
        <v>175</v>
      </c>
      <c r="I32" s="75">
        <f>AVERAGE(I4:I28)</f>
        <v>5.0199999999999996</v>
      </c>
      <c r="J32" s="75"/>
      <c r="K32" s="75"/>
      <c r="L32" s="75"/>
      <c r="M32" s="75"/>
      <c r="N32" s="75"/>
      <c r="O32" s="75"/>
      <c r="P32" s="75"/>
      <c r="Q32" t="s">
        <v>175</v>
      </c>
      <c r="R32" s="75">
        <f>AVERAGE(R4:R14,S15,R16:R28)</f>
        <v>6.9066666666666672</v>
      </c>
      <c r="S32" s="75"/>
      <c r="T32" s="75"/>
      <c r="U32" s="75"/>
      <c r="V32" s="75"/>
      <c r="W32" s="75"/>
      <c r="X32" s="75"/>
      <c r="Y32" t="s">
        <v>175</v>
      </c>
      <c r="Z32" s="75">
        <f>AVERAGE(Z4:Z28)</f>
        <v>6.5</v>
      </c>
      <c r="AA32" s="75"/>
      <c r="AB32" s="75"/>
      <c r="AC32" s="75"/>
      <c r="AD32" s="75"/>
      <c r="AE32" s="75"/>
      <c r="AF32" s="75"/>
      <c r="AG32" t="s">
        <v>175</v>
      </c>
      <c r="AH32" s="75">
        <f>AVERAGE(AH4:AH28)</f>
        <v>8.06</v>
      </c>
      <c r="AI32" s="75"/>
      <c r="AJ32" s="75"/>
      <c r="AK32" s="75"/>
      <c r="AL32" s="75"/>
      <c r="AM32" s="75"/>
      <c r="AN32" s="75"/>
      <c r="AO32" s="75"/>
      <c r="AP32" t="s">
        <v>175</v>
      </c>
      <c r="AQ32" s="75">
        <f>AVERAGE(AQ4:AQ28)</f>
        <v>6.06</v>
      </c>
      <c r="AR32" s="75"/>
      <c r="AS32" s="75"/>
      <c r="AY32" t="s">
        <v>175</v>
      </c>
      <c r="AZ32">
        <f>AVERAGE(AZ4:AZ28)</f>
        <v>6.44</v>
      </c>
      <c r="BH32" t="s">
        <v>175</v>
      </c>
      <c r="BI32">
        <f>AVERAGE(BI4:BI28)</f>
        <v>5.3</v>
      </c>
      <c r="BQ32" t="s">
        <v>175</v>
      </c>
      <c r="BR32">
        <f>AVERAGE(BR4:BR28)</f>
        <v>5.16</v>
      </c>
      <c r="BY32" t="s">
        <v>175</v>
      </c>
      <c r="BZ32">
        <f>AVERAGE(BY4:BY28)</f>
        <v>5.44</v>
      </c>
      <c r="CG32" t="s">
        <v>175</v>
      </c>
      <c r="CH32">
        <f>AVERAGE(CG4:CG28)</f>
        <v>5.98</v>
      </c>
      <c r="CP32" t="s">
        <v>175</v>
      </c>
      <c r="CQ32">
        <f>AVERAGE(CQ4:CQ28)</f>
        <v>7.34</v>
      </c>
      <c r="CY32" t="s">
        <v>175</v>
      </c>
      <c r="CZ32">
        <f>AVERAGE(CZ4:CZ28)</f>
        <v>7.84</v>
      </c>
      <c r="DH32" t="s">
        <v>175</v>
      </c>
      <c r="DI32">
        <f>AVERAGE(DI4:DI28)</f>
        <v>5.74</v>
      </c>
      <c r="DQ32" t="s">
        <v>175</v>
      </c>
      <c r="DR32">
        <f>AVERAGE(DR4:DR28)</f>
        <v>6.98</v>
      </c>
      <c r="DZ32" t="s">
        <v>175</v>
      </c>
      <c r="EA32">
        <f>AVERAGE(EA4:EA28)</f>
        <v>6.54</v>
      </c>
      <c r="EI32" t="s">
        <v>175</v>
      </c>
      <c r="EJ32">
        <f>AVERAGE(EJ4:EJ28)</f>
        <v>6.56</v>
      </c>
      <c r="ER32" t="s">
        <v>175</v>
      </c>
      <c r="ES32">
        <f>AVERAGE(ES4:ES28)</f>
        <v>4.9800000000000004</v>
      </c>
      <c r="FA32" t="s">
        <v>175</v>
      </c>
      <c r="FB32">
        <f>AVERAGE(FB4:FB28)</f>
        <v>4.9800000000000004</v>
      </c>
      <c r="FJ32" t="s">
        <v>175</v>
      </c>
      <c r="FK32">
        <f>AVERAGE(FK4:FK28)</f>
        <v>4.46</v>
      </c>
      <c r="FS32" t="s">
        <v>175</v>
      </c>
      <c r="FT32">
        <f>AVERAGE(FT4:FT28)</f>
        <v>6.66</v>
      </c>
      <c r="GB32" t="s">
        <v>175</v>
      </c>
      <c r="GC32">
        <f>AVERAGE(GC4:GC28)</f>
        <v>6.86</v>
      </c>
      <c r="GK32" t="s">
        <v>175</v>
      </c>
      <c r="GL32">
        <f>AVERAGE(GL4:GL28)</f>
        <v>4.8</v>
      </c>
      <c r="GT32" t="s">
        <v>175</v>
      </c>
      <c r="GU32">
        <f>AVERAGE(GU4:GU28)</f>
        <v>5</v>
      </c>
      <c r="HC32" t="s">
        <v>175</v>
      </c>
      <c r="HD32">
        <f>AVERAGE(HD4:HD28)</f>
        <v>6.56</v>
      </c>
      <c r="HL32" t="s">
        <v>175</v>
      </c>
      <c r="HM32">
        <f>AVERAGE(HM4:HM28)</f>
        <v>6.6</v>
      </c>
      <c r="HU32" t="s">
        <v>175</v>
      </c>
      <c r="HV32">
        <f>AVERAGE(HV4:HV28)</f>
        <v>7.36</v>
      </c>
      <c r="ID32" t="s">
        <v>175</v>
      </c>
      <c r="IE32">
        <f>AVERAGE(IE4:IE28)</f>
        <v>5.16</v>
      </c>
      <c r="IM32" t="s">
        <v>175</v>
      </c>
      <c r="IN32">
        <f>AVERAGE(IN4:IN28)</f>
        <v>4.82</v>
      </c>
      <c r="IV32" t="s">
        <v>175</v>
      </c>
      <c r="IW32">
        <f>AVERAGE(IW4:IW13,IX14,IW15:IW28)</f>
        <v>6.8666666666666671</v>
      </c>
      <c r="JE32" t="s">
        <v>175</v>
      </c>
      <c r="JF32">
        <f>AVERAGE(JF4:JF28)</f>
        <v>7.52</v>
      </c>
      <c r="JN32" t="s">
        <v>175</v>
      </c>
      <c r="JO32">
        <f>AVERAGE(JO4:JO28)</f>
        <v>7.78</v>
      </c>
      <c r="JW32" t="s">
        <v>175</v>
      </c>
      <c r="JX32">
        <f>AVERAGE(JX4:JX28)</f>
        <v>4.54</v>
      </c>
      <c r="KF32" t="s">
        <v>175</v>
      </c>
      <c r="KG32">
        <f>AVERAGE(KG4:KG28)</f>
        <v>4.92</v>
      </c>
      <c r="KO32" t="s">
        <v>175</v>
      </c>
      <c r="KP32">
        <f>AVERAGE(KP4:KP28)</f>
        <v>6.7</v>
      </c>
      <c r="KX32" t="s">
        <v>175</v>
      </c>
      <c r="KY32">
        <f>AVERAGE(KY4:KY7,KZ8,KY9:KY13,KZ14,KY15:KY22,KZ23,KY24:KY27,KZ28)</f>
        <v>9.3133333333333326</v>
      </c>
      <c r="LG32" t="s">
        <v>175</v>
      </c>
      <c r="LH32">
        <f>AVERAGE(LI4,LH5:LH9,LI10,LH11:LH28)</f>
        <v>8.8866666666666667</v>
      </c>
      <c r="LQ32" t="s">
        <v>175</v>
      </c>
      <c r="LR32">
        <f>AVERAGE(LR4:LR28)</f>
        <v>6.36</v>
      </c>
      <c r="LZ32" t="s">
        <v>175</v>
      </c>
      <c r="MA32">
        <f>AVERAGE(MA4:MA28)</f>
        <v>6.76</v>
      </c>
      <c r="MI32" t="s">
        <v>175</v>
      </c>
      <c r="MJ32">
        <f>AVERAGE(MJ4:MJ28)</f>
        <v>7.28</v>
      </c>
      <c r="MR32" t="s">
        <v>175</v>
      </c>
      <c r="MS32">
        <f>AVERAGE(MS4:MS28)</f>
        <v>7.72</v>
      </c>
      <c r="NA32" t="s">
        <v>175</v>
      </c>
      <c r="NB32">
        <f>AVERAGE(NB4:NB28)</f>
        <v>7.12</v>
      </c>
      <c r="NJ32" t="s">
        <v>175</v>
      </c>
      <c r="NK32">
        <f>AVERAGE(NK4:NK28)</f>
        <v>6.3</v>
      </c>
      <c r="NS32" t="s">
        <v>175</v>
      </c>
      <c r="NT32">
        <f>AVERAGE(NT4:NT28)</f>
        <v>6.52</v>
      </c>
      <c r="OB32" t="s">
        <v>175</v>
      </c>
      <c r="OC32">
        <f>AVERAGE(OC4:OC9,OD10:OD11,OC12:OC28)</f>
        <v>8.92</v>
      </c>
      <c r="OK32" t="s">
        <v>175</v>
      </c>
      <c r="OL32">
        <f>AVERAGE(OL4:OL28)</f>
        <v>7.88</v>
      </c>
      <c r="OT32" t="s">
        <v>175</v>
      </c>
      <c r="OU32">
        <f>AVERAGE(OU4:OU28)</f>
        <v>6.92</v>
      </c>
      <c r="PC32" t="s">
        <v>175</v>
      </c>
      <c r="PD32">
        <f>AVERAGE(PD4:PD28)</f>
        <v>6.14</v>
      </c>
      <c r="PL32" t="s">
        <v>175</v>
      </c>
      <c r="PM32">
        <f>AVERAGE(PM4:PM28)</f>
        <v>5.82</v>
      </c>
      <c r="QB32" t="s">
        <v>175</v>
      </c>
      <c r="QC32">
        <f>AVERAGE(QC4:QC28)</f>
        <v>6.46</v>
      </c>
      <c r="QK32" t="s">
        <v>175</v>
      </c>
      <c r="QL32">
        <f>AVERAGE(QL4:QL28)</f>
        <v>4.24</v>
      </c>
      <c r="QT32" t="s">
        <v>175</v>
      </c>
      <c r="QU32">
        <f>AVERAGE(QU4:QU28)</f>
        <v>8.68</v>
      </c>
      <c r="RC32" t="s">
        <v>175</v>
      </c>
      <c r="RD32">
        <f>AVERAGE(RD4:RD28)</f>
        <v>7.44</v>
      </c>
      <c r="RL32" t="s">
        <v>175</v>
      </c>
      <c r="RM32">
        <f>AVERAGE(RM4:RM28)</f>
        <v>6.66</v>
      </c>
      <c r="RU32" t="s">
        <v>175</v>
      </c>
      <c r="RV32">
        <f>AVERAGE(RV4:RV28)</f>
        <v>6.76</v>
      </c>
      <c r="SD32" t="s">
        <v>175</v>
      </c>
      <c r="SE32">
        <f>AVERAGE(SE4:SE28)</f>
        <v>8.14</v>
      </c>
      <c r="SM32" t="s">
        <v>175</v>
      </c>
      <c r="SN32">
        <f>AVERAGE(SN4:SN28)</f>
        <v>6.4</v>
      </c>
      <c r="SV32" t="s">
        <v>175</v>
      </c>
      <c r="SW32">
        <f>AVERAGE(SW4:SW28)</f>
        <v>5.28</v>
      </c>
      <c r="TE32" t="s">
        <v>175</v>
      </c>
      <c r="TF32">
        <f>AVERAGE(TF4:TF28)</f>
        <v>5.36</v>
      </c>
      <c r="TN32" t="s">
        <v>175</v>
      </c>
      <c r="TO32">
        <f>AVERAGE(TO4:TO28)</f>
        <v>9.64</v>
      </c>
      <c r="UD32" t="s">
        <v>175</v>
      </c>
      <c r="UE32">
        <f>AVERAGE(UE4:UE28)</f>
        <v>6.2</v>
      </c>
      <c r="UT32" t="s">
        <v>175</v>
      </c>
      <c r="UU32">
        <f>AVERAGE(UU4:UU28)</f>
        <v>8.2200000000000006</v>
      </c>
      <c r="VC32" t="s">
        <v>175</v>
      </c>
      <c r="VD32">
        <f>AVERAGE(VD4:VD28)</f>
        <v>7.84</v>
      </c>
      <c r="VL32" t="s">
        <v>175</v>
      </c>
      <c r="VM32">
        <f>AVERAGE(VM4:VM17,VN18,VM19:VM28)</f>
        <v>7.42</v>
      </c>
      <c r="VU32" t="s">
        <v>175</v>
      </c>
      <c r="VV32">
        <f>AVERAGE(VV4:VV28)</f>
        <v>7.56</v>
      </c>
    </row>
    <row r="33" spans="7:594" x14ac:dyDescent="0.35">
      <c r="G33" s="75"/>
      <c r="H33" t="s">
        <v>249</v>
      </c>
      <c r="I33" s="75">
        <f>STDEV(I4:I28)</f>
        <v>1.3108521401490458</v>
      </c>
      <c r="J33" s="75"/>
      <c r="K33" s="75"/>
      <c r="L33" s="75"/>
      <c r="M33" s="75"/>
      <c r="N33" s="75"/>
      <c r="O33" s="75"/>
      <c r="P33" s="75"/>
      <c r="Q33" t="s">
        <v>249</v>
      </c>
      <c r="R33" s="75">
        <f>STDEV(R4:R14,S15,R16:R28)</f>
        <v>1.3368703086770262</v>
      </c>
      <c r="S33" s="75"/>
      <c r="T33" s="75"/>
      <c r="U33" s="75"/>
      <c r="V33" s="75"/>
      <c r="W33" s="75"/>
      <c r="X33" s="75"/>
      <c r="Y33" t="s">
        <v>249</v>
      </c>
      <c r="Z33" s="75">
        <f>STDEV(Z4:Z28)</f>
        <v>1.865252440466616</v>
      </c>
      <c r="AA33" s="75"/>
      <c r="AB33" s="75"/>
      <c r="AC33" s="75"/>
      <c r="AD33" s="75"/>
      <c r="AE33" s="75"/>
      <c r="AF33" s="75"/>
      <c r="AG33" t="s">
        <v>249</v>
      </c>
      <c r="AH33" s="75">
        <f>STDEV(AH4:AH28)</f>
        <v>1.2189476335484379</v>
      </c>
      <c r="AI33" s="75"/>
      <c r="AJ33" s="75"/>
      <c r="AK33" s="75"/>
      <c r="AL33" s="75"/>
      <c r="AM33" s="75"/>
      <c r="AN33" s="75"/>
      <c r="AO33" s="75"/>
      <c r="AP33" t="s">
        <v>249</v>
      </c>
      <c r="AQ33" s="75">
        <f>STDEV(AQ4:AQ28)</f>
        <v>2.0530465167647809</v>
      </c>
      <c r="AR33" s="75"/>
      <c r="AS33" s="75"/>
      <c r="AY33" t="s">
        <v>249</v>
      </c>
      <c r="AZ33">
        <f>STDEV(AZ4:AZ28)</f>
        <v>1.6350331291240972</v>
      </c>
      <c r="BH33" t="s">
        <v>249</v>
      </c>
      <c r="BI33">
        <f>STDEV(BI4:BI28)</f>
        <v>1.707825127659933</v>
      </c>
      <c r="BQ33" t="s">
        <v>249</v>
      </c>
      <c r="BR33">
        <f>STDEV(BR4:BR28)</f>
        <v>1.1877850535064558</v>
      </c>
      <c r="BY33" t="s">
        <v>249</v>
      </c>
      <c r="BZ33">
        <f>STDEV(BY4:BY28)</f>
        <v>2.2375581929117878</v>
      </c>
      <c r="CG33" t="s">
        <v>249</v>
      </c>
      <c r="CH33">
        <f>STDEV(CG4:CG28)</f>
        <v>1.7823205847059802</v>
      </c>
      <c r="CP33" t="s">
        <v>249</v>
      </c>
      <c r="CQ33">
        <f>STDEV(CQ4:CQ28)</f>
        <v>2.0141168453361047</v>
      </c>
      <c r="CY33" t="s">
        <v>249</v>
      </c>
      <c r="CZ33">
        <f>STDEV(CZ4:CZ28)</f>
        <v>1.7243356208503404</v>
      </c>
      <c r="DH33" t="s">
        <v>249</v>
      </c>
      <c r="DI33">
        <f>STDEV(DI4:DI28)</f>
        <v>1.4514360704718152</v>
      </c>
      <c r="DQ33" t="s">
        <v>249</v>
      </c>
      <c r="DR33">
        <f>STDEV(DR4:DR28)</f>
        <v>1.2867918764638413</v>
      </c>
      <c r="DZ33" t="s">
        <v>249</v>
      </c>
      <c r="EA33">
        <f>STDEV(EA4:EA28)</f>
        <v>1.5201425371764763</v>
      </c>
      <c r="EI33" t="s">
        <v>249</v>
      </c>
      <c r="EJ33">
        <f>STDEV(EJ4:EJ28)</f>
        <v>1.05396078358416</v>
      </c>
      <c r="ER33" t="s">
        <v>249</v>
      </c>
      <c r="ES33">
        <f>STDEV(ES4:ES28)</f>
        <v>2.0231987873991359</v>
      </c>
      <c r="FA33" t="s">
        <v>249</v>
      </c>
      <c r="FB33">
        <f>STDEV(FB4:FB28)</f>
        <v>1.4753530650887154</v>
      </c>
      <c r="FJ33" t="s">
        <v>249</v>
      </c>
      <c r="FK33">
        <f>STDEV(FK4:FK28)</f>
        <v>1.0400320507881793</v>
      </c>
      <c r="FS33" t="s">
        <v>249</v>
      </c>
      <c r="FT33">
        <f>STDEV(FT4:FT28)</f>
        <v>1.2559856687080453</v>
      </c>
      <c r="GB33" t="s">
        <v>249</v>
      </c>
      <c r="GC33">
        <f>STDEV(GC4:GC28)</f>
        <v>1.8457157599876168</v>
      </c>
      <c r="GK33" t="s">
        <v>249</v>
      </c>
      <c r="GL33">
        <f>STDEV(GL4:GL28)</f>
        <v>1.8708286933869707</v>
      </c>
      <c r="GT33" t="s">
        <v>249</v>
      </c>
      <c r="GU33">
        <f>STDEV(GU4:GU28)</f>
        <v>1.7677669529663689</v>
      </c>
      <c r="HC33" t="s">
        <v>249</v>
      </c>
      <c r="HD33">
        <f>STDEV(HD4:HD28)</f>
        <v>2.3018108813135227</v>
      </c>
      <c r="HL33" t="s">
        <v>249</v>
      </c>
      <c r="HM33">
        <f>STDEV(HM4:HM28)</f>
        <v>1.8763883748662837</v>
      </c>
      <c r="HU33" t="s">
        <v>249</v>
      </c>
      <c r="HV33">
        <f>STDEV(HV4:HV28)</f>
        <v>1.1412712210513325</v>
      </c>
      <c r="ID33" t="s">
        <v>249</v>
      </c>
      <c r="IE33">
        <f>STDEV(IE4:IE28)</f>
        <v>2.32163735324878</v>
      </c>
      <c r="IM33" t="s">
        <v>249</v>
      </c>
      <c r="IN33">
        <f>STDEV(IN4:IN28)</f>
        <v>1.9142013129936644</v>
      </c>
      <c r="IV33" t="s">
        <v>249</v>
      </c>
      <c r="IW33">
        <f>STDEV(IW4:IW13,IX14,IW15:IW28)</f>
        <v>1.5898986690282377</v>
      </c>
      <c r="JE33" t="s">
        <v>249</v>
      </c>
      <c r="JF33">
        <f>STDEV(JF4:JF28)</f>
        <v>1.1590225767142475</v>
      </c>
      <c r="JN33" t="s">
        <v>249</v>
      </c>
      <c r="JO33">
        <f>STDEV(JO4:JO28)</f>
        <v>1.4866068747318502</v>
      </c>
      <c r="JW33" t="s">
        <v>249</v>
      </c>
      <c r="JX33">
        <f>STDEV(JX4:JX28)</f>
        <v>1.7907168024751061</v>
      </c>
      <c r="KF33" t="s">
        <v>249</v>
      </c>
      <c r="KG33">
        <f>STDEV(KG4:KG28)</f>
        <v>1.7540429489230496</v>
      </c>
      <c r="KO33" t="s">
        <v>249</v>
      </c>
      <c r="KP33">
        <f>STDEV(KP4:KP28)</f>
        <v>1.5877132402714709</v>
      </c>
      <c r="KX33" t="s">
        <v>249</v>
      </c>
      <c r="KY33">
        <f>STDEV(KY4:KY7,KZ8,KY9:KY13,KZ14,KY15:KY22,KZ23,KY24:KY27,KZ28)</f>
        <v>0.99805366143866914</v>
      </c>
      <c r="LG33" t="s">
        <v>249</v>
      </c>
      <c r="LH33">
        <f>STDEV(LI4,LH5:LH9,LI10,LH11:LH28)</f>
        <v>1.4598959881773439</v>
      </c>
      <c r="LQ33" t="s">
        <v>249</v>
      </c>
      <c r="LR33">
        <f>STDEV(LR4:LR28)</f>
        <v>0.99498743710661974</v>
      </c>
      <c r="LZ33" t="s">
        <v>249</v>
      </c>
      <c r="MA33">
        <f>STDEV(MA4:MA28)</f>
        <v>1.7387735140993295</v>
      </c>
      <c r="MI33" t="s">
        <v>249</v>
      </c>
      <c r="MJ33">
        <f>STDEV(MJ4:MJ28)</f>
        <v>2.1846052274953474</v>
      </c>
      <c r="MR33" t="s">
        <v>249</v>
      </c>
      <c r="MS33">
        <f>STDEV(MS4:MS28)</f>
        <v>0.93630479367920849</v>
      </c>
      <c r="NA33" t="s">
        <v>249</v>
      </c>
      <c r="NB33">
        <f>STDEV(NB4:NB28)</f>
        <v>1.7576025337563299</v>
      </c>
      <c r="NJ33" t="s">
        <v>249</v>
      </c>
      <c r="NK33">
        <f>STDEV(NK4:NK28)</f>
        <v>1.4288690166235205</v>
      </c>
      <c r="NS33" t="s">
        <v>249</v>
      </c>
      <c r="NT33">
        <f>STDEV(NT4:NT28)</f>
        <v>2.3825756371344577</v>
      </c>
      <c r="OB33" t="s">
        <v>249</v>
      </c>
      <c r="OC33">
        <f>STDEV(OC4:OC9,OD10:OD11,OC12:OC28)</f>
        <v>0.88338574268004233</v>
      </c>
      <c r="OK33" t="s">
        <v>249</v>
      </c>
      <c r="OL33">
        <f>STDEV(OL4:OL28)</f>
        <v>1.5895492023421831</v>
      </c>
      <c r="OT33" t="s">
        <v>249</v>
      </c>
      <c r="OU33">
        <f>STDEV(OU4:OU28)</f>
        <v>1.9773719933285181</v>
      </c>
      <c r="PC33" t="s">
        <v>249</v>
      </c>
      <c r="PD33">
        <f>STDEV(PD4:PD28)</f>
        <v>1.2291596044994861</v>
      </c>
      <c r="PL33" t="s">
        <v>249</v>
      </c>
      <c r="PM33">
        <f>STDEV(PM4:PM28)</f>
        <v>1.5671098663888681</v>
      </c>
      <c r="QB33" t="s">
        <v>249</v>
      </c>
      <c r="QC33">
        <f>STDEV(QC4:QC28)</f>
        <v>1.670329308849007</v>
      </c>
      <c r="QK33" t="s">
        <v>249</v>
      </c>
      <c r="QL33">
        <f>STDEV(QL4:QL28)</f>
        <v>1.4002975874196646</v>
      </c>
      <c r="QT33" t="s">
        <v>249</v>
      </c>
      <c r="QU33">
        <f>STDEV(QU4:QU28)</f>
        <v>1.9142013129936644</v>
      </c>
      <c r="RC33" t="s">
        <v>249</v>
      </c>
      <c r="RD33">
        <f>STDEV(RD4:RD28)</f>
        <v>1.348764867079014</v>
      </c>
      <c r="RL33" t="s">
        <v>249</v>
      </c>
      <c r="RM33">
        <f>STDEV(RM4:RM28)</f>
        <v>1.6753109164172073</v>
      </c>
      <c r="RU33" t="s">
        <v>249</v>
      </c>
      <c r="RV33">
        <f>STDEV(RV4:RV28)</f>
        <v>2.693046601899046</v>
      </c>
      <c r="SD33" t="s">
        <v>249</v>
      </c>
      <c r="SE33">
        <f>STDEV(SE4:SE28)</f>
        <v>1.7708284313657641</v>
      </c>
      <c r="SM33" t="s">
        <v>249</v>
      </c>
      <c r="SN33">
        <f>STDEV(SN4:SN28)</f>
        <v>2.6339134382131846</v>
      </c>
      <c r="SV33" t="s">
        <v>249</v>
      </c>
      <c r="SW33">
        <f>STDEV(SW4:SW28)</f>
        <v>1.7445152144172695</v>
      </c>
      <c r="TE33" t="s">
        <v>249</v>
      </c>
      <c r="TF33">
        <f>STDEV(TF4:TF28)</f>
        <v>1.8230011885167088</v>
      </c>
      <c r="TN33" t="s">
        <v>249</v>
      </c>
      <c r="TO33">
        <f>STDEV(TO4:TO28)</f>
        <v>1.1860297916438169</v>
      </c>
      <c r="UD33" t="s">
        <v>249</v>
      </c>
      <c r="UE33">
        <f>STDEV(UE4:UE28)</f>
        <v>1.2665570127975554</v>
      </c>
      <c r="UT33" t="s">
        <v>249</v>
      </c>
      <c r="UU33">
        <f>STDEV(UU4:UU28)</f>
        <v>0.9137833441248524</v>
      </c>
      <c r="VC33" t="s">
        <v>249</v>
      </c>
      <c r="VD33">
        <f>STDEV(VD4:VD28)</f>
        <v>2.3216373532487791</v>
      </c>
      <c r="VL33" t="s">
        <v>249</v>
      </c>
      <c r="VM33">
        <f>STDEV(VM4:VM17,VN18,VM19:VM28)</f>
        <v>1.4554495296413854</v>
      </c>
      <c r="VU33" t="s">
        <v>249</v>
      </c>
      <c r="VV33">
        <f>STDEV(VV4:VV28)</f>
        <v>2.4971650592889003</v>
      </c>
    </row>
    <row r="34" spans="7:594" x14ac:dyDescent="0.35">
      <c r="H34" t="s">
        <v>250</v>
      </c>
      <c r="I34">
        <f>I33/I32</f>
        <v>0.26112592433247928</v>
      </c>
      <c r="Q34" t="s">
        <v>250</v>
      </c>
      <c r="R34">
        <f>R33/R32</f>
        <v>0.19356230337987829</v>
      </c>
      <c r="Y34" t="s">
        <v>250</v>
      </c>
      <c r="Z34">
        <f>Z33/Z32</f>
        <v>0.2869619139179409</v>
      </c>
      <c r="AG34" t="s">
        <v>250</v>
      </c>
      <c r="AH34">
        <f>AH33/AH32</f>
        <v>0.1512341977107243</v>
      </c>
      <c r="AP34" t="s">
        <v>250</v>
      </c>
      <c r="AQ34">
        <f>AQ33/AQ32</f>
        <v>0.33878655392158102</v>
      </c>
      <c r="AY34" t="s">
        <v>250</v>
      </c>
      <c r="AZ34">
        <f>AZ33/AZ32</f>
        <v>0.25388713185156786</v>
      </c>
      <c r="BH34" t="s">
        <v>250</v>
      </c>
      <c r="BI34">
        <f>BI33/BI32</f>
        <v>0.32223115616225151</v>
      </c>
      <c r="BQ34" t="s">
        <v>250</v>
      </c>
      <c r="BR34">
        <f>BR33/BR32</f>
        <v>0.2301909018423364</v>
      </c>
      <c r="BY34" t="s">
        <v>250</v>
      </c>
      <c r="BZ34">
        <f>BZ33/BZ32</f>
        <v>0.41131584428525508</v>
      </c>
      <c r="CG34" t="s">
        <v>250</v>
      </c>
      <c r="CH34">
        <f>CH33/CH32</f>
        <v>0.29804692051939469</v>
      </c>
      <c r="CP34" t="s">
        <v>250</v>
      </c>
      <c r="CQ34">
        <f>CQ33/CQ32</f>
        <v>0.27440283996404696</v>
      </c>
      <c r="CY34" t="s">
        <v>250</v>
      </c>
      <c r="CZ34">
        <f>CZ33/CZ32</f>
        <v>0.21994076796560466</v>
      </c>
      <c r="DH34" t="s">
        <v>250</v>
      </c>
      <c r="DI34">
        <f>DI33/DI32</f>
        <v>0.25286342691146607</v>
      </c>
      <c r="DQ34" t="s">
        <v>250</v>
      </c>
      <c r="DR34">
        <f>DR33/DR32</f>
        <v>0.18435413702920361</v>
      </c>
      <c r="DZ34" t="s">
        <v>250</v>
      </c>
      <c r="EA34">
        <f>EA33/EA32</f>
        <v>0.23243769681597495</v>
      </c>
      <c r="EI34" t="s">
        <v>250</v>
      </c>
      <c r="EJ34">
        <f>EJ33/EJ32</f>
        <v>0.16066475359514634</v>
      </c>
      <c r="ER34" t="s">
        <v>250</v>
      </c>
      <c r="ES34">
        <f>ES33/ES32</f>
        <v>0.40626481674681442</v>
      </c>
      <c r="FA34" t="s">
        <v>250</v>
      </c>
      <c r="FB34">
        <f>FB33/FB32</f>
        <v>0.29625563555998302</v>
      </c>
      <c r="FJ34" t="s">
        <v>250</v>
      </c>
      <c r="FK34">
        <f>FK33/FK32</f>
        <v>0.23319104277761868</v>
      </c>
      <c r="FS34" t="s">
        <v>250</v>
      </c>
      <c r="FT34">
        <f>FT33/FT32</f>
        <v>0.18858643674294973</v>
      </c>
      <c r="GB34" t="s">
        <v>250</v>
      </c>
      <c r="GC34">
        <f>GC33/GC32</f>
        <v>0.26905477550839896</v>
      </c>
      <c r="GK34" t="s">
        <v>250</v>
      </c>
      <c r="GL34">
        <f>GL33/GL32</f>
        <v>0.38975597778895221</v>
      </c>
      <c r="GT34" t="s">
        <v>250</v>
      </c>
      <c r="GU34">
        <f>GU33/GU32</f>
        <v>0.35355339059327379</v>
      </c>
      <c r="HC34" t="s">
        <v>250</v>
      </c>
      <c r="HD34">
        <f>HD33/HD32</f>
        <v>0.35088580507828093</v>
      </c>
      <c r="HL34" t="s">
        <v>250</v>
      </c>
      <c r="HM34">
        <f>HM33/HM32</f>
        <v>0.28430126891913393</v>
      </c>
      <c r="HU34" t="s">
        <v>250</v>
      </c>
      <c r="HV34">
        <f>HV33/HV32</f>
        <v>0.15506402459936583</v>
      </c>
      <c r="ID34" t="s">
        <v>250</v>
      </c>
      <c r="IE34">
        <f>IE33/IE32</f>
        <v>0.44992971962185657</v>
      </c>
      <c r="IM34" t="s">
        <v>250</v>
      </c>
      <c r="IN34">
        <f>IN33/IN32</f>
        <v>0.39713720186590545</v>
      </c>
      <c r="IV34" t="s">
        <v>250</v>
      </c>
      <c r="IW34">
        <f>IW33/IW32</f>
        <v>0.23153864112061712</v>
      </c>
      <c r="JE34" t="s">
        <v>250</v>
      </c>
      <c r="JF34">
        <f>JF33/JF32</f>
        <v>0.15412534264817121</v>
      </c>
      <c r="JN34" t="s">
        <v>250</v>
      </c>
      <c r="JO34">
        <f>JO33/JO32</f>
        <v>0.19108057515833549</v>
      </c>
      <c r="JW34" t="s">
        <v>250</v>
      </c>
      <c r="JX34">
        <f>JX33/JX32</f>
        <v>0.39443101376103656</v>
      </c>
      <c r="KF34" t="s">
        <v>250</v>
      </c>
      <c r="KG34">
        <f>KG33/KG32</f>
        <v>0.35651279449655482</v>
      </c>
      <c r="KO34" t="s">
        <v>250</v>
      </c>
      <c r="KP34">
        <f>KP33/KP32</f>
        <v>0.23697212541365237</v>
      </c>
      <c r="KX34" t="s">
        <v>250</v>
      </c>
      <c r="KY34">
        <f>KY33/KY32</f>
        <v>0.10716395792111695</v>
      </c>
      <c r="LG34" t="s">
        <v>250</v>
      </c>
      <c r="LH34">
        <f>LH33/LH32</f>
        <v>0.16427936851207919</v>
      </c>
      <c r="LQ34" t="s">
        <v>250</v>
      </c>
      <c r="LR34">
        <f>LR33/LR32</f>
        <v>0.15644456558280184</v>
      </c>
      <c r="LZ34" t="s">
        <v>250</v>
      </c>
      <c r="MA34">
        <f>MA33/MA32</f>
        <v>0.25721501687859905</v>
      </c>
      <c r="MI34" t="s">
        <v>250</v>
      </c>
      <c r="MJ34">
        <f>MJ33/MJ32</f>
        <v>0.3000831356449653</v>
      </c>
      <c r="MR34" t="s">
        <v>250</v>
      </c>
      <c r="MS34">
        <f>MS33/MS32</f>
        <v>0.12128300436259178</v>
      </c>
      <c r="NA34" t="s">
        <v>250</v>
      </c>
      <c r="NB34">
        <f>NB33/NB32</f>
        <v>0.24685428844892274</v>
      </c>
      <c r="NJ34" t="s">
        <v>250</v>
      </c>
      <c r="NK34">
        <f>NK33/NK32</f>
        <v>0.22680460581325723</v>
      </c>
      <c r="NS34" t="s">
        <v>250</v>
      </c>
      <c r="NT34">
        <f>NT33/NT32</f>
        <v>0.3654257112169414</v>
      </c>
      <c r="OB34" t="s">
        <v>250</v>
      </c>
      <c r="OC34">
        <f>OC33/OC32</f>
        <v>9.9034276085206541E-2</v>
      </c>
      <c r="OK34" t="s">
        <v>250</v>
      </c>
      <c r="OL34">
        <f>OL33/OL32</f>
        <v>0.20171944192159685</v>
      </c>
      <c r="OT34" t="s">
        <v>250</v>
      </c>
      <c r="OU34">
        <f>OU33/OU32</f>
        <v>0.28574739787984366</v>
      </c>
      <c r="PC34" t="s">
        <v>250</v>
      </c>
      <c r="PD34">
        <f>PD33/PD32</f>
        <v>0.20018886066766875</v>
      </c>
      <c r="PL34" t="s">
        <v>250</v>
      </c>
      <c r="PM34">
        <f>PM33/PM32</f>
        <v>0.26926286364069896</v>
      </c>
      <c r="QB34" t="s">
        <v>250</v>
      </c>
      <c r="QC34">
        <f>QC33/QC32</f>
        <v>0.25856490849055835</v>
      </c>
      <c r="QK34" t="s">
        <v>250</v>
      </c>
      <c r="QL34">
        <f>QL33/QL32</f>
        <v>0.33025886495746803</v>
      </c>
      <c r="QT34" t="s">
        <v>250</v>
      </c>
      <c r="QU34">
        <f>QU33/QU32</f>
        <v>0.22053010518360189</v>
      </c>
      <c r="RC34" t="s">
        <v>250</v>
      </c>
      <c r="RD34">
        <f>RD33/RD32</f>
        <v>0.18128560041384595</v>
      </c>
      <c r="RL34" t="s">
        <v>250</v>
      </c>
      <c r="RM34">
        <f>RM33/RM32</f>
        <v>0.25154818564822934</v>
      </c>
      <c r="RU34" t="s">
        <v>250</v>
      </c>
      <c r="RV34">
        <f>RV33/RV32</f>
        <v>0.39837967483713699</v>
      </c>
      <c r="SD34" t="s">
        <v>250</v>
      </c>
      <c r="SE34">
        <f>SE33/SE32</f>
        <v>0.21754649033977444</v>
      </c>
      <c r="SM34" t="s">
        <v>250</v>
      </c>
      <c r="SN34">
        <f>SN33/SN32</f>
        <v>0.41154897472081009</v>
      </c>
      <c r="SV34" t="s">
        <v>250</v>
      </c>
      <c r="SW34">
        <f>SW33/SW32</f>
        <v>0.33040060879114952</v>
      </c>
      <c r="TE34" t="s">
        <v>250</v>
      </c>
      <c r="TF34">
        <f>TF33/TF32</f>
        <v>0.34011216203669936</v>
      </c>
      <c r="TN34" t="s">
        <v>250</v>
      </c>
      <c r="TO34">
        <f>TO33/TO32</f>
        <v>0.1230321360626366</v>
      </c>
      <c r="UD34" t="s">
        <v>250</v>
      </c>
      <c r="UE34">
        <f>UE33/UE32</f>
        <v>0.20428338916089603</v>
      </c>
      <c r="UT34" t="s">
        <v>250</v>
      </c>
      <c r="UU34">
        <f>UU33/UU32</f>
        <v>0.11116585694949542</v>
      </c>
      <c r="VC34" t="s">
        <v>250</v>
      </c>
      <c r="VD34">
        <f>VD33/VD32</f>
        <v>0.2961272134245892</v>
      </c>
      <c r="VL34" t="s">
        <v>250</v>
      </c>
      <c r="VM34">
        <f>VM33/VM32</f>
        <v>0.19615222771447244</v>
      </c>
      <c r="VU34" t="s">
        <v>250</v>
      </c>
      <c r="VV34">
        <f>VV33/VV32</f>
        <v>0.33031283853027782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"/>
  <sheetViews>
    <sheetView zoomScale="50" zoomScaleNormal="50" workbookViewId="0">
      <selection activeCell="BQ35" sqref="BQ35"/>
    </sheetView>
  </sheetViews>
  <sheetFormatPr defaultRowHeight="14.5" x14ac:dyDescent="0.35"/>
  <cols>
    <col min="1" max="1" width="10.1796875" customWidth="1"/>
    <col min="3" max="3" width="13" customWidth="1"/>
    <col min="4" max="5" width="13.36328125" customWidth="1"/>
    <col min="6" max="6" width="12.1796875" customWidth="1"/>
    <col min="9" max="9" width="10.1796875" customWidth="1"/>
    <col min="11" max="11" width="13" customWidth="1"/>
    <col min="12" max="13" width="13.36328125" customWidth="1"/>
    <col min="14" max="14" width="12.1796875" customWidth="1"/>
    <col min="17" max="17" width="10.1796875" customWidth="1"/>
    <col min="19" max="19" width="13" customWidth="1"/>
    <col min="20" max="21" width="13.36328125" customWidth="1"/>
    <col min="22" max="22" width="12.1796875" customWidth="1"/>
    <col min="25" max="25" width="10.1796875" customWidth="1"/>
    <col min="27" max="27" width="13" customWidth="1"/>
    <col min="28" max="29" width="13.36328125" customWidth="1"/>
    <col min="30" max="30" width="12.1796875" customWidth="1"/>
    <col min="33" max="33" width="10.1796875" customWidth="1"/>
    <col min="35" max="35" width="13" customWidth="1"/>
    <col min="36" max="37" width="13.36328125" customWidth="1"/>
    <col min="38" max="38" width="12.1796875" customWidth="1"/>
    <col min="41" max="41" width="10.1796875" customWidth="1"/>
    <col min="43" max="43" width="13" customWidth="1"/>
    <col min="44" max="45" width="13.36328125" customWidth="1"/>
    <col min="46" max="46" width="12.1796875" customWidth="1"/>
    <col min="49" max="49" width="10.1796875" customWidth="1"/>
    <col min="51" max="51" width="13" customWidth="1"/>
    <col min="52" max="53" width="13.36328125" customWidth="1"/>
    <col min="54" max="54" width="12.1796875" customWidth="1"/>
    <col min="57" max="57" width="10.1796875" customWidth="1"/>
    <col min="59" max="59" width="13" customWidth="1"/>
    <col min="60" max="61" width="13.36328125" customWidth="1"/>
    <col min="62" max="62" width="12.1796875" customWidth="1"/>
    <col min="65" max="65" width="10.1796875" customWidth="1"/>
    <col min="67" max="67" width="13" customWidth="1"/>
    <col min="68" max="69" width="13.36328125" customWidth="1"/>
    <col min="70" max="70" width="12.1796875" customWidth="1"/>
  </cols>
  <sheetData>
    <row r="1" spans="1:71" x14ac:dyDescent="0.35">
      <c r="A1" s="1" t="s">
        <v>216</v>
      </c>
      <c r="C1" s="2"/>
      <c r="I1" s="1" t="s">
        <v>217</v>
      </c>
      <c r="K1" s="2"/>
      <c r="Q1" s="1" t="s">
        <v>218</v>
      </c>
      <c r="S1" s="2"/>
      <c r="Y1" s="1" t="s">
        <v>219</v>
      </c>
      <c r="AA1" s="2"/>
      <c r="AG1" s="1" t="s">
        <v>220</v>
      </c>
      <c r="AI1" s="2"/>
      <c r="AO1" s="1" t="s">
        <v>221</v>
      </c>
      <c r="AQ1" s="2"/>
      <c r="AW1" s="1" t="s">
        <v>222</v>
      </c>
      <c r="AY1" s="2"/>
      <c r="BE1" s="1" t="s">
        <v>223</v>
      </c>
      <c r="BG1" s="2"/>
      <c r="BM1" s="1" t="s">
        <v>224</v>
      </c>
      <c r="BO1" s="2"/>
    </row>
    <row r="2" spans="1:71" ht="29" x14ac:dyDescent="0.35">
      <c r="A2" s="3" t="s">
        <v>25</v>
      </c>
      <c r="B2" s="3" t="s">
        <v>26</v>
      </c>
      <c r="C2" s="3" t="s">
        <v>27</v>
      </c>
      <c r="D2" s="3" t="s">
        <v>71</v>
      </c>
      <c r="E2" s="3" t="s">
        <v>28</v>
      </c>
      <c r="F2" s="3" t="s">
        <v>29</v>
      </c>
      <c r="G2" s="4" t="s">
        <v>30</v>
      </c>
      <c r="I2" s="3" t="s">
        <v>25</v>
      </c>
      <c r="J2" s="3" t="s">
        <v>26</v>
      </c>
      <c r="K2" s="3" t="s">
        <v>27</v>
      </c>
      <c r="L2" s="3" t="s">
        <v>71</v>
      </c>
      <c r="M2" s="3" t="s">
        <v>28</v>
      </c>
      <c r="N2" s="3" t="s">
        <v>29</v>
      </c>
      <c r="O2" s="4" t="s">
        <v>30</v>
      </c>
      <c r="P2" s="5"/>
      <c r="Q2" s="3" t="s">
        <v>25</v>
      </c>
      <c r="R2" s="3" t="s">
        <v>26</v>
      </c>
      <c r="S2" s="3" t="s">
        <v>27</v>
      </c>
      <c r="T2" s="3" t="s">
        <v>71</v>
      </c>
      <c r="U2" s="3" t="s">
        <v>28</v>
      </c>
      <c r="V2" s="3" t="s">
        <v>29</v>
      </c>
      <c r="W2" s="4" t="s">
        <v>30</v>
      </c>
      <c r="X2" s="5"/>
      <c r="Y2" s="3" t="s">
        <v>25</v>
      </c>
      <c r="Z2" s="3" t="s">
        <v>26</v>
      </c>
      <c r="AA2" s="3" t="s">
        <v>27</v>
      </c>
      <c r="AB2" s="3" t="s">
        <v>71</v>
      </c>
      <c r="AC2" s="3" t="s">
        <v>28</v>
      </c>
      <c r="AD2" s="3" t="s">
        <v>29</v>
      </c>
      <c r="AE2" s="4" t="s">
        <v>30</v>
      </c>
      <c r="AG2" s="3" t="s">
        <v>25</v>
      </c>
      <c r="AH2" s="3" t="s">
        <v>26</v>
      </c>
      <c r="AI2" s="3" t="s">
        <v>27</v>
      </c>
      <c r="AJ2" s="3" t="s">
        <v>71</v>
      </c>
      <c r="AK2" s="3" t="s">
        <v>28</v>
      </c>
      <c r="AL2" s="3" t="s">
        <v>29</v>
      </c>
      <c r="AM2" s="4" t="s">
        <v>30</v>
      </c>
      <c r="AO2" s="3" t="s">
        <v>25</v>
      </c>
      <c r="AP2" s="3" t="s">
        <v>26</v>
      </c>
      <c r="AQ2" s="3" t="s">
        <v>27</v>
      </c>
      <c r="AR2" s="3" t="s">
        <v>71</v>
      </c>
      <c r="AS2" s="3" t="s">
        <v>28</v>
      </c>
      <c r="AT2" s="3" t="s">
        <v>29</v>
      </c>
      <c r="AU2" s="4" t="s">
        <v>30</v>
      </c>
      <c r="AW2" s="3" t="s">
        <v>25</v>
      </c>
      <c r="AX2" s="3" t="s">
        <v>26</v>
      </c>
      <c r="AY2" s="3" t="s">
        <v>27</v>
      </c>
      <c r="AZ2" s="3" t="s">
        <v>71</v>
      </c>
      <c r="BA2" s="3" t="s">
        <v>28</v>
      </c>
      <c r="BB2" s="3" t="s">
        <v>29</v>
      </c>
      <c r="BC2" s="4" t="s">
        <v>30</v>
      </c>
      <c r="BE2" s="3" t="s">
        <v>25</v>
      </c>
      <c r="BF2" s="3" t="s">
        <v>26</v>
      </c>
      <c r="BG2" s="3" t="s">
        <v>27</v>
      </c>
      <c r="BH2" s="3" t="s">
        <v>71</v>
      </c>
      <c r="BI2" s="3" t="s">
        <v>28</v>
      </c>
      <c r="BJ2" s="3" t="s">
        <v>29</v>
      </c>
      <c r="BK2" s="4" t="s">
        <v>30</v>
      </c>
      <c r="BM2" s="3" t="s">
        <v>25</v>
      </c>
      <c r="BN2" s="3" t="s">
        <v>26</v>
      </c>
      <c r="BO2" s="3" t="s">
        <v>27</v>
      </c>
      <c r="BP2" s="3" t="s">
        <v>71</v>
      </c>
      <c r="BQ2" s="3" t="s">
        <v>28</v>
      </c>
      <c r="BR2" s="3" t="s">
        <v>29</v>
      </c>
      <c r="BS2" s="4" t="s">
        <v>30</v>
      </c>
    </row>
    <row r="3" spans="1:71" ht="15" thickBot="1" x14ac:dyDescent="0.4">
      <c r="A3" s="6"/>
      <c r="I3" s="6"/>
      <c r="Q3" s="6"/>
      <c r="Y3" s="6"/>
      <c r="AG3" s="6"/>
      <c r="AO3" s="6"/>
      <c r="AW3" s="6"/>
      <c r="BE3" s="6"/>
      <c r="BM3" s="6"/>
    </row>
    <row r="4" spans="1:71" x14ac:dyDescent="0.35">
      <c r="A4" s="23">
        <v>1</v>
      </c>
      <c r="B4" s="16">
        <v>1</v>
      </c>
      <c r="C4" s="16">
        <f>MEDIAN(3,3,3,3,3,2,3,2,3,2,3,3,3,3)</f>
        <v>3</v>
      </c>
      <c r="D4" s="16">
        <v>3</v>
      </c>
      <c r="E4" s="16">
        <v>1</v>
      </c>
      <c r="F4" s="16">
        <v>1</v>
      </c>
      <c r="G4" s="18">
        <f>SUM(B4:F4)</f>
        <v>9</v>
      </c>
      <c r="I4" s="23">
        <v>1</v>
      </c>
      <c r="J4" s="16">
        <v>0</v>
      </c>
      <c r="K4" s="16">
        <f>MEDIAN(3,2,2,2,1,3,3,2,2,2,1,3,3,1,1,1,3,3,3,3,3,2,2,2,2,3,2)</f>
        <v>2</v>
      </c>
      <c r="L4" s="16">
        <v>3</v>
      </c>
      <c r="M4" s="16">
        <v>1</v>
      </c>
      <c r="N4" s="16">
        <v>0</v>
      </c>
      <c r="O4" s="18">
        <f>SUM(J4:N4)</f>
        <v>6</v>
      </c>
      <c r="P4" s="75"/>
      <c r="Q4" s="23">
        <v>1</v>
      </c>
      <c r="R4" s="16">
        <v>0</v>
      </c>
      <c r="S4" s="16">
        <f>MEDIAN(1,1,2,1,1,1)</f>
        <v>1</v>
      </c>
      <c r="T4" s="16">
        <v>2</v>
      </c>
      <c r="U4" s="16">
        <v>1</v>
      </c>
      <c r="V4" s="16">
        <v>0</v>
      </c>
      <c r="W4" s="18">
        <f>SUM(R4:V4)</f>
        <v>4</v>
      </c>
      <c r="X4" s="75"/>
      <c r="Y4" s="190">
        <v>1</v>
      </c>
      <c r="Z4" s="16">
        <v>0</v>
      </c>
      <c r="AA4" s="16">
        <f>MEDIAN(3,2,3,3,3,3,3,3,3,3,3,3,3,3,3,3,3)</f>
        <v>3</v>
      </c>
      <c r="AB4" s="16">
        <v>2</v>
      </c>
      <c r="AC4" s="16">
        <v>1</v>
      </c>
      <c r="AD4" s="16">
        <v>1</v>
      </c>
      <c r="AE4" s="18">
        <f>SUM(Z4:AD4)</f>
        <v>7</v>
      </c>
      <c r="AG4" s="23">
        <v>1</v>
      </c>
      <c r="AH4" s="16">
        <v>0</v>
      </c>
      <c r="AI4" s="16">
        <f>MEDIAN(3,2,3,2,2,2,2,3,1,2)</f>
        <v>2</v>
      </c>
      <c r="AJ4" s="16">
        <v>2</v>
      </c>
      <c r="AK4" s="16">
        <v>0</v>
      </c>
      <c r="AL4" s="16">
        <v>1</v>
      </c>
      <c r="AM4" s="18">
        <f>SUM(AH4:AL4)</f>
        <v>5</v>
      </c>
      <c r="AO4" s="23">
        <v>1</v>
      </c>
      <c r="AP4" s="16">
        <v>0</v>
      </c>
      <c r="AQ4" s="16">
        <f>MEDIAN(0,0,0,0,0,0,0,0,0,0,1)</f>
        <v>0</v>
      </c>
      <c r="AR4" s="16">
        <v>2</v>
      </c>
      <c r="AS4" s="16">
        <v>0</v>
      </c>
      <c r="AT4" s="16">
        <v>0</v>
      </c>
      <c r="AU4" s="18">
        <f>SUM(AP4:AT4)</f>
        <v>2</v>
      </c>
      <c r="AW4" s="20">
        <v>1</v>
      </c>
      <c r="AX4" s="16">
        <v>1</v>
      </c>
      <c r="AY4" s="16">
        <f>MEDIAN(3,2,2,3,2,3,3,2,3,3,3,3,2,2,2,2,2,3,3,3,3,3)</f>
        <v>3</v>
      </c>
      <c r="AZ4" s="16">
        <v>3</v>
      </c>
      <c r="BA4" s="16">
        <v>2</v>
      </c>
      <c r="BB4" s="16">
        <v>2</v>
      </c>
      <c r="BC4" s="18">
        <f>SUM(AX4:BB4)</f>
        <v>11</v>
      </c>
      <c r="BE4" s="23">
        <v>1</v>
      </c>
      <c r="BF4" s="16">
        <v>0</v>
      </c>
      <c r="BG4" s="16">
        <f>MEDIAN(2,2,2,3,2,2,2,2,3,1,2,2,1,1,2,2,2,3)</f>
        <v>2</v>
      </c>
      <c r="BH4" s="16">
        <v>2</v>
      </c>
      <c r="BI4" s="16">
        <v>0</v>
      </c>
      <c r="BJ4" s="16">
        <v>1</v>
      </c>
      <c r="BK4" s="18">
        <f>SUM(BF4:BJ4)</f>
        <v>5</v>
      </c>
      <c r="BM4" s="23">
        <v>1</v>
      </c>
      <c r="BN4" s="16">
        <v>0</v>
      </c>
      <c r="BO4" s="16">
        <f>MEDIAN(2,1,2,2,1,1,1,1,0,0,1,1,1,2,1,2,1,2,1,2,2,2,2,2,2,2,1,2,2,0,1,2,3)</f>
        <v>2</v>
      </c>
      <c r="BP4" s="16">
        <v>3</v>
      </c>
      <c r="BQ4" s="16">
        <v>1</v>
      </c>
      <c r="BR4" s="16">
        <v>1</v>
      </c>
      <c r="BS4" s="18">
        <f>SUM(BN4:BR4)</f>
        <v>7</v>
      </c>
    </row>
    <row r="5" spans="1:71" x14ac:dyDescent="0.35">
      <c r="A5" s="37">
        <v>2</v>
      </c>
      <c r="B5" s="32">
        <v>0</v>
      </c>
      <c r="C5" s="32">
        <f>MEDIAN(2,2,3,3,3,2,3,2,2,3,2,3,3)</f>
        <v>3</v>
      </c>
      <c r="D5" s="32">
        <v>3</v>
      </c>
      <c r="E5" s="32">
        <v>1</v>
      </c>
      <c r="F5" s="32">
        <v>1</v>
      </c>
      <c r="G5" s="33">
        <f t="shared" ref="G5:G21" si="0">SUM(B5:F5)</f>
        <v>8</v>
      </c>
      <c r="I5" s="39">
        <v>2</v>
      </c>
      <c r="J5" s="32">
        <v>1</v>
      </c>
      <c r="K5" s="32">
        <f>MEDIAN(3,3,3,3,3,2,3,3,3,3,3,3,3,3,3,2,3,2,3,3,3,3,3,2,2,2,2)</f>
        <v>3</v>
      </c>
      <c r="L5" s="32">
        <v>2</v>
      </c>
      <c r="M5" s="32">
        <v>0</v>
      </c>
      <c r="N5" s="32">
        <v>1</v>
      </c>
      <c r="O5" s="33">
        <f t="shared" ref="O5:O28" si="1">SUM(J5:N5)</f>
        <v>7</v>
      </c>
      <c r="P5" s="75"/>
      <c r="Q5" s="37">
        <v>2</v>
      </c>
      <c r="R5" s="32">
        <v>0</v>
      </c>
      <c r="S5" s="32">
        <f>MEDIAN(3,3,2,3,2,1,1,3,2,2,2,3,1,2,3,3,1,1,2,2,2,2,2,2,2,3,3,2,3,1,1,3,2)</f>
        <v>2</v>
      </c>
      <c r="T5" s="32">
        <v>2</v>
      </c>
      <c r="U5" s="32">
        <v>0</v>
      </c>
      <c r="V5" s="32">
        <v>1</v>
      </c>
      <c r="W5" s="33">
        <f t="shared" ref="W5:W28" si="2">SUM(R5:V5)</f>
        <v>5</v>
      </c>
      <c r="X5" s="75"/>
      <c r="Y5" s="165">
        <v>2</v>
      </c>
      <c r="Z5" s="32">
        <v>0</v>
      </c>
      <c r="AA5" s="32">
        <f>MEDIAN(2,3,3,2,3,2,2,3,3,3,2,3,3,3,2,3,2,3,3,2,3,3)</f>
        <v>3</v>
      </c>
      <c r="AB5" s="32">
        <v>2</v>
      </c>
      <c r="AC5" s="32">
        <v>1</v>
      </c>
      <c r="AD5" s="32">
        <v>1</v>
      </c>
      <c r="AE5" s="33">
        <f t="shared" ref="AE5:AE17" si="3">SUM(Z5:AD5)</f>
        <v>7</v>
      </c>
      <c r="AG5" s="34">
        <v>2</v>
      </c>
      <c r="AH5" s="32">
        <v>0</v>
      </c>
      <c r="AI5" s="32">
        <f>MEDIAN(1,2,2,2,2,2,2,2,2,2,2,1,2,2,2,2)</f>
        <v>2</v>
      </c>
      <c r="AJ5" s="32">
        <v>3</v>
      </c>
      <c r="AK5" s="32">
        <v>0</v>
      </c>
      <c r="AL5" s="32">
        <v>0</v>
      </c>
      <c r="AM5" s="33">
        <f t="shared" ref="AM5:AM28" si="4">SUM(AH5:AL5)</f>
        <v>5</v>
      </c>
      <c r="AO5" s="34">
        <v>2</v>
      </c>
      <c r="AP5" s="32">
        <v>0</v>
      </c>
      <c r="AQ5" s="32">
        <f>MEDIAN(2,2,2,2,1)</f>
        <v>2</v>
      </c>
      <c r="AR5" s="32">
        <v>3</v>
      </c>
      <c r="AS5" s="32">
        <v>1</v>
      </c>
      <c r="AT5" s="32">
        <v>1</v>
      </c>
      <c r="AU5" s="33">
        <f t="shared" ref="AU5:AU28" si="5">SUM(AP5:AT5)</f>
        <v>7</v>
      </c>
      <c r="AW5" s="34">
        <v>2</v>
      </c>
      <c r="AX5" s="32">
        <v>2</v>
      </c>
      <c r="AY5" s="32">
        <f>MEDIAN(2,3,2,3,3,3,2,1,1,3,2,3,1,3,3,3,3,3,3,2,2,2,2,2,3,3,3,3,3)</f>
        <v>3</v>
      </c>
      <c r="AZ5" s="32">
        <v>3</v>
      </c>
      <c r="BA5" s="32">
        <v>2</v>
      </c>
      <c r="BB5" s="32">
        <v>3</v>
      </c>
      <c r="BC5" s="33">
        <f t="shared" ref="BC5:BC20" si="6">SUM(AX5:BB5)</f>
        <v>13</v>
      </c>
      <c r="BE5" s="34">
        <v>2</v>
      </c>
      <c r="BF5" s="32">
        <v>1</v>
      </c>
      <c r="BG5" s="32">
        <f>MEDIAN(2,2,1,2,2,2,2,1,2,2,2,2,2,3,2,2,2,2,1,1,1,1,1,3,2,2,2)</f>
        <v>2</v>
      </c>
      <c r="BH5" s="32">
        <v>3</v>
      </c>
      <c r="BI5" s="32">
        <v>1</v>
      </c>
      <c r="BJ5" s="32">
        <v>1</v>
      </c>
      <c r="BK5" s="33">
        <f t="shared" ref="BK5:BK28" si="7">SUM(BF5:BJ5)</f>
        <v>8</v>
      </c>
      <c r="BM5" s="37">
        <v>2</v>
      </c>
      <c r="BN5" s="32">
        <v>1</v>
      </c>
      <c r="BO5" s="32">
        <f>MEDIAN(1,1,2,2,2,2,1,1,1,1,1,1,1,1,2,2,2,1,1,2,2,2,1,1,2,2,2,0,0,2,1,1,1,0,1,2,1,2,1,1,1,2,2,2,0,2,1,1,1,2)</f>
        <v>1</v>
      </c>
      <c r="BP5" s="32">
        <v>1</v>
      </c>
      <c r="BQ5" s="32">
        <v>1</v>
      </c>
      <c r="BR5" s="32">
        <v>1</v>
      </c>
      <c r="BS5" s="33">
        <f t="shared" ref="BS5:BS28" si="8">SUM(BN5:BR5)</f>
        <v>5</v>
      </c>
    </row>
    <row r="6" spans="1:71" x14ac:dyDescent="0.35">
      <c r="A6" s="37">
        <v>3</v>
      </c>
      <c r="B6" s="32">
        <v>0</v>
      </c>
      <c r="C6" s="32">
        <f>MEDIAN(3,3,2,3,3,3,3,3,3,2,3,3,3,2,3,2,3,3,3,2,3,3,3,2,2,3,3,3,3,3,3,3,2,3,2,2,3,2,2,3,3,3,2,3,3,2,2,3,3,3,3,3)</f>
        <v>3</v>
      </c>
      <c r="D6" s="32">
        <v>2</v>
      </c>
      <c r="E6" s="32">
        <v>1</v>
      </c>
      <c r="F6" s="32">
        <v>0</v>
      </c>
      <c r="G6" s="33">
        <f t="shared" si="0"/>
        <v>6</v>
      </c>
      <c r="I6" s="34">
        <v>3</v>
      </c>
      <c r="J6" s="32">
        <v>0</v>
      </c>
      <c r="K6" s="32">
        <f>MEDIAN(1,2,1,3,3,2,2,3,2,3,2,2,1,2,2,1,3,2,3,3,3,2,2,1,1,2,2,1,1,2,1,2,2,3,2)</f>
        <v>2</v>
      </c>
      <c r="L6" s="32">
        <v>3</v>
      </c>
      <c r="M6" s="32">
        <v>0</v>
      </c>
      <c r="N6" s="32">
        <v>1</v>
      </c>
      <c r="O6" s="33">
        <f t="shared" si="1"/>
        <v>6</v>
      </c>
      <c r="P6" s="75"/>
      <c r="Q6" s="37">
        <v>3</v>
      </c>
      <c r="R6" s="32">
        <v>1</v>
      </c>
      <c r="S6" s="32">
        <f>MEDIAN(0,0,0,1,2,1,0,1,1,1,1,1,0,1,2,0,1,1,1,1,2,1,0)</f>
        <v>1</v>
      </c>
      <c r="T6" s="32">
        <v>3</v>
      </c>
      <c r="U6" s="32">
        <v>0</v>
      </c>
      <c r="V6" s="32">
        <v>1</v>
      </c>
      <c r="W6" s="33">
        <f t="shared" si="2"/>
        <v>6</v>
      </c>
      <c r="X6" s="75"/>
      <c r="Y6" s="165">
        <v>3</v>
      </c>
      <c r="Z6" s="32">
        <v>1</v>
      </c>
      <c r="AA6" s="32">
        <f>MEDIAN(3,3,2,3,3)</f>
        <v>3</v>
      </c>
      <c r="AB6" s="32">
        <v>2</v>
      </c>
      <c r="AC6" s="32">
        <v>1</v>
      </c>
      <c r="AD6" s="32">
        <v>0</v>
      </c>
      <c r="AE6" s="33">
        <f t="shared" si="3"/>
        <v>7</v>
      </c>
      <c r="AG6" s="34">
        <v>3</v>
      </c>
      <c r="AH6" s="32">
        <v>0</v>
      </c>
      <c r="AI6" s="32">
        <f>MEDIAN(0,1,2,1,0,1,2,1,2,0,1,1,1,2,2,1,0,2,1,1,1,1,1)</f>
        <v>1</v>
      </c>
      <c r="AJ6" s="32">
        <v>2</v>
      </c>
      <c r="AK6" s="32">
        <v>0</v>
      </c>
      <c r="AL6" s="32">
        <v>1</v>
      </c>
      <c r="AM6" s="33">
        <f t="shared" si="4"/>
        <v>4</v>
      </c>
      <c r="AO6" s="34">
        <v>3</v>
      </c>
      <c r="AP6" s="32">
        <v>0</v>
      </c>
      <c r="AQ6" s="32">
        <f>MEDIAN(2,2,2,2,2)</f>
        <v>2</v>
      </c>
      <c r="AR6" s="32">
        <v>2</v>
      </c>
      <c r="AS6" s="32">
        <v>1</v>
      </c>
      <c r="AT6" s="32">
        <v>0</v>
      </c>
      <c r="AU6" s="33">
        <f t="shared" si="5"/>
        <v>5</v>
      </c>
      <c r="AW6" s="34">
        <v>3</v>
      </c>
      <c r="AX6" s="32">
        <v>1</v>
      </c>
      <c r="AY6" s="32">
        <f>MEDIAN(3,3,2,2,3,3,3,3,3,3,2,3,3,3,3,2,2,2,3,3,3,2,1,1,2,3,3)</f>
        <v>3</v>
      </c>
      <c r="AZ6" s="32">
        <v>2</v>
      </c>
      <c r="BA6" s="32" t="s">
        <v>31</v>
      </c>
      <c r="BB6" s="32">
        <v>3</v>
      </c>
      <c r="BC6" s="33">
        <f t="shared" si="6"/>
        <v>9</v>
      </c>
      <c r="BE6" s="34">
        <v>3</v>
      </c>
      <c r="BF6" s="32">
        <v>0</v>
      </c>
      <c r="BG6" s="32">
        <f>MEDIAN(1,1,1,2,2,1,1,1,0,1,2,2,2,1,1,1,1,2,2,1,1,1,1,2,1,1,2,1,2,1,2)</f>
        <v>1</v>
      </c>
      <c r="BH6" s="32">
        <v>2</v>
      </c>
      <c r="BI6" s="32">
        <v>0</v>
      </c>
      <c r="BJ6" s="32">
        <v>1</v>
      </c>
      <c r="BK6" s="33">
        <f t="shared" si="7"/>
        <v>4</v>
      </c>
      <c r="BM6" s="34">
        <v>3</v>
      </c>
      <c r="BN6" s="32">
        <v>1</v>
      </c>
      <c r="BO6" s="32">
        <f>MEDIAN(1,1,1,1,1,0,1,2,1,0,2,2,1,2,2,1,1,2,2,1,1,1,2,1,1,2,3,1,1,2,2,2)</f>
        <v>1</v>
      </c>
      <c r="BP6" s="32">
        <v>2</v>
      </c>
      <c r="BQ6" s="32">
        <v>1</v>
      </c>
      <c r="BR6" s="32">
        <v>1</v>
      </c>
      <c r="BS6" s="33">
        <f t="shared" si="8"/>
        <v>6</v>
      </c>
    </row>
    <row r="7" spans="1:71" x14ac:dyDescent="0.35">
      <c r="A7" s="35">
        <v>4</v>
      </c>
      <c r="B7" s="32">
        <v>1</v>
      </c>
      <c r="C7" s="32">
        <f>MEDIAN(3,3,2,3,3,3,2,3,3,3,3,3,3,3,3,3,3,3,2,3,3,3)</f>
        <v>3</v>
      </c>
      <c r="D7" s="32">
        <v>3</v>
      </c>
      <c r="E7" s="32">
        <v>3</v>
      </c>
      <c r="F7" s="32">
        <v>1</v>
      </c>
      <c r="G7" s="33">
        <f t="shared" si="0"/>
        <v>11</v>
      </c>
      <c r="I7" s="38">
        <v>4</v>
      </c>
      <c r="J7" s="32">
        <v>0</v>
      </c>
      <c r="K7" s="32">
        <f>MEDIAN(2,3,3,2,3,3,2,3,3,2,2,3,1,3,3,3,2,2,2,3,3,3,2,0)</f>
        <v>3</v>
      </c>
      <c r="L7" s="32">
        <v>3</v>
      </c>
      <c r="M7" s="32">
        <v>1</v>
      </c>
      <c r="N7" s="32">
        <v>0</v>
      </c>
      <c r="O7" s="33">
        <f t="shared" si="1"/>
        <v>7</v>
      </c>
      <c r="P7" s="75"/>
      <c r="Q7" s="46">
        <v>4</v>
      </c>
      <c r="R7" s="32">
        <v>0</v>
      </c>
      <c r="S7" s="32">
        <f>MEDIAN(1,1,1,2,2,2,1,2,2,1,2,2,3,1,1,2,2,2,2,0,0,2,2,2,3,2,2,2,2,2)</f>
        <v>2</v>
      </c>
      <c r="T7" s="32">
        <v>2</v>
      </c>
      <c r="U7" s="32">
        <v>0</v>
      </c>
      <c r="V7" s="32">
        <v>1</v>
      </c>
      <c r="W7" s="33">
        <f t="shared" si="2"/>
        <v>5</v>
      </c>
      <c r="X7" s="75"/>
      <c r="Y7" s="165">
        <v>4</v>
      </c>
      <c r="Z7" s="32">
        <v>1</v>
      </c>
      <c r="AA7" s="32">
        <f>MEDIAN(3,3,3,3,2,2,3,2,3,3,3,2,3,2,2,3,3,3,2,2)</f>
        <v>3</v>
      </c>
      <c r="AB7" s="32">
        <v>2</v>
      </c>
      <c r="AC7" s="32">
        <v>2</v>
      </c>
      <c r="AD7" s="32">
        <v>1</v>
      </c>
      <c r="AE7" s="33">
        <f t="shared" si="3"/>
        <v>9</v>
      </c>
      <c r="AG7" s="37">
        <v>4</v>
      </c>
      <c r="AH7" s="32">
        <v>0</v>
      </c>
      <c r="AI7" s="32">
        <f>MEDIAN(3,2,2,2,1,1,2,2,3,2,2,3,2,2)</f>
        <v>2</v>
      </c>
      <c r="AJ7" s="32">
        <v>2</v>
      </c>
      <c r="AK7" s="32">
        <v>0</v>
      </c>
      <c r="AL7" s="32">
        <v>1</v>
      </c>
      <c r="AM7" s="33">
        <f t="shared" si="4"/>
        <v>5</v>
      </c>
      <c r="AO7" s="34">
        <v>4</v>
      </c>
      <c r="AP7" s="32">
        <v>0</v>
      </c>
      <c r="AQ7" s="32">
        <f>MEDIAN(2,2,2,2,2,2,2,3,2,2,2,2,2,3,2,2,2,2,2,2)</f>
        <v>2</v>
      </c>
      <c r="AR7" s="32">
        <v>3</v>
      </c>
      <c r="AS7" s="32">
        <v>1</v>
      </c>
      <c r="AT7" s="32">
        <v>1</v>
      </c>
      <c r="AU7" s="33">
        <f t="shared" si="5"/>
        <v>7</v>
      </c>
      <c r="AW7" s="34">
        <v>4</v>
      </c>
      <c r="AX7" s="32">
        <v>2</v>
      </c>
      <c r="AY7" s="32">
        <f>MEDIAN(1,2,1,2,2,2,3,3,2,2,3,3,3,3,3,2,2,3,2)</f>
        <v>2</v>
      </c>
      <c r="AZ7" s="32">
        <v>3</v>
      </c>
      <c r="BA7" s="32">
        <v>3</v>
      </c>
      <c r="BB7" s="32">
        <v>3</v>
      </c>
      <c r="BC7" s="33">
        <f t="shared" si="6"/>
        <v>13</v>
      </c>
      <c r="BE7" s="34">
        <v>4</v>
      </c>
      <c r="BF7" s="32">
        <v>1</v>
      </c>
      <c r="BG7" s="32">
        <f>MEDIAN(1,2,2,1,1,2,1,1,2,3,2,1,2,1,1,0,1,0,1,1,2,1,1,2,2,3,1,2,2,1,1,2)</f>
        <v>1</v>
      </c>
      <c r="BH7" s="32">
        <v>2</v>
      </c>
      <c r="BI7" s="32">
        <v>1</v>
      </c>
      <c r="BJ7" s="32">
        <v>1</v>
      </c>
      <c r="BK7" s="33">
        <f t="shared" si="7"/>
        <v>6</v>
      </c>
      <c r="BM7" s="34">
        <v>4</v>
      </c>
      <c r="BN7" s="32">
        <v>1</v>
      </c>
      <c r="BO7" s="32">
        <f>MEDIAN(1,1,1,3,1,1,2,2,1,2,2,1,2,2,2,1,2,3,1,2,3,1,1,1,1,1,2,2,1,1,2)</f>
        <v>1</v>
      </c>
      <c r="BP7" s="32">
        <v>2</v>
      </c>
      <c r="BQ7" s="32">
        <v>1</v>
      </c>
      <c r="BR7" s="32">
        <v>1</v>
      </c>
      <c r="BS7" s="33">
        <f t="shared" si="8"/>
        <v>6</v>
      </c>
    </row>
    <row r="8" spans="1:71" x14ac:dyDescent="0.35">
      <c r="A8" s="38">
        <v>5</v>
      </c>
      <c r="B8" s="32">
        <v>1</v>
      </c>
      <c r="C8" s="32">
        <f>MEDIAN(3,3,2,2,2,2,3,3,3,3,3,2,3,3,3,3)</f>
        <v>3</v>
      </c>
      <c r="D8" s="32">
        <v>3</v>
      </c>
      <c r="E8" s="32">
        <v>3</v>
      </c>
      <c r="F8" s="32">
        <v>1</v>
      </c>
      <c r="G8" s="33">
        <f t="shared" si="0"/>
        <v>11</v>
      </c>
      <c r="I8" s="34">
        <v>5</v>
      </c>
      <c r="J8" s="32">
        <v>0</v>
      </c>
      <c r="K8" s="32">
        <f>MEDIAN(2,3,2,2,3,1,2,2,2,2,3,3,3,3,3,2,1,2,3,2,2,3,2,2,3,3)</f>
        <v>2</v>
      </c>
      <c r="L8" s="32">
        <v>3</v>
      </c>
      <c r="M8" s="32">
        <v>1</v>
      </c>
      <c r="N8" s="32">
        <v>1</v>
      </c>
      <c r="O8" s="33">
        <f t="shared" si="1"/>
        <v>7</v>
      </c>
      <c r="P8" s="75"/>
      <c r="Q8" s="34">
        <v>5</v>
      </c>
      <c r="R8" s="32">
        <v>0</v>
      </c>
      <c r="S8" s="32">
        <f>MEDIAN(0,1,0,0,0,0,1,0,0,0,0,0,1,2,0,1,1)</f>
        <v>0</v>
      </c>
      <c r="T8" s="32">
        <v>2</v>
      </c>
      <c r="U8" s="32">
        <v>0</v>
      </c>
      <c r="V8" s="32">
        <v>0</v>
      </c>
      <c r="W8" s="33">
        <f t="shared" si="2"/>
        <v>2</v>
      </c>
      <c r="X8" s="75"/>
      <c r="Y8" s="165">
        <v>5</v>
      </c>
      <c r="Z8" s="32">
        <v>0</v>
      </c>
      <c r="AA8" s="32">
        <f>MEDIAN(3,2,3,3,3,2,2,2,3,3,3)</f>
        <v>3</v>
      </c>
      <c r="AB8" s="32">
        <v>3</v>
      </c>
      <c r="AC8" s="32">
        <v>1</v>
      </c>
      <c r="AD8" s="32">
        <v>1</v>
      </c>
      <c r="AE8" s="33">
        <f t="shared" si="3"/>
        <v>8</v>
      </c>
      <c r="AG8" s="37">
        <v>5</v>
      </c>
      <c r="AH8" s="32">
        <v>0</v>
      </c>
      <c r="AI8" s="32">
        <f>MEDIAN(2,3,2,2,2,2,2,2,2,2,2,2,1,2,3,1,1,2,3,3,2,2,2)</f>
        <v>2</v>
      </c>
      <c r="AJ8" s="32">
        <v>2</v>
      </c>
      <c r="AK8" s="32">
        <v>0</v>
      </c>
      <c r="AL8" s="32">
        <v>1</v>
      </c>
      <c r="AM8" s="33">
        <f t="shared" si="4"/>
        <v>5</v>
      </c>
      <c r="AO8" s="34">
        <v>5</v>
      </c>
      <c r="AP8" s="32">
        <v>0</v>
      </c>
      <c r="AQ8" s="32">
        <f>MEDIAN(1,2,2,2,2,1,2,2,1,1,2,2,2)</f>
        <v>2</v>
      </c>
      <c r="AR8" s="32">
        <v>3</v>
      </c>
      <c r="AS8" s="32">
        <v>0</v>
      </c>
      <c r="AT8" s="32">
        <v>1</v>
      </c>
      <c r="AU8" s="33">
        <f t="shared" si="5"/>
        <v>6</v>
      </c>
      <c r="AW8" s="42" t="s">
        <v>225</v>
      </c>
      <c r="AX8" s="43"/>
      <c r="AY8" s="43"/>
      <c r="AZ8" s="43"/>
      <c r="BA8" s="43"/>
      <c r="BB8" s="43"/>
      <c r="BC8" s="44"/>
      <c r="BE8" s="37">
        <v>5</v>
      </c>
      <c r="BF8" s="32">
        <v>0</v>
      </c>
      <c r="BG8" s="32">
        <f>MEDIAN(2,1,1,3,2,1,2,2,2,2,1,2,2,1,0,1,1)</f>
        <v>2</v>
      </c>
      <c r="BH8" s="32">
        <v>2</v>
      </c>
      <c r="BI8" s="32">
        <v>0</v>
      </c>
      <c r="BJ8" s="32">
        <v>1</v>
      </c>
      <c r="BK8" s="33">
        <f t="shared" si="7"/>
        <v>5</v>
      </c>
      <c r="BM8" s="37">
        <v>5</v>
      </c>
      <c r="BN8" s="32">
        <v>1</v>
      </c>
      <c r="BO8" s="32">
        <f>MEDIAN(0,1,2,2,2,2,2,2,2,1,1,1,2,1,2,2,1,1,1,1,1,1,2,2,1,1,2,1,0,1,1,1,1,1,0)</f>
        <v>1</v>
      </c>
      <c r="BP8" s="32">
        <v>2</v>
      </c>
      <c r="BQ8" s="32">
        <v>0</v>
      </c>
      <c r="BR8" s="32">
        <v>0</v>
      </c>
      <c r="BS8" s="33">
        <f t="shared" si="8"/>
        <v>4</v>
      </c>
    </row>
    <row r="9" spans="1:71" x14ac:dyDescent="0.35">
      <c r="A9" s="34">
        <v>6</v>
      </c>
      <c r="B9" s="32">
        <v>1</v>
      </c>
      <c r="C9" s="32">
        <f>MEDIAN(3,3,3,3,3,3,3,3,3,3,3,3,3,3,3,3,3,3,2,3,3,3,3,3,2)</f>
        <v>3</v>
      </c>
      <c r="D9" s="32">
        <v>3</v>
      </c>
      <c r="E9" s="32">
        <v>3</v>
      </c>
      <c r="F9" s="32">
        <v>2</v>
      </c>
      <c r="G9" s="33">
        <f t="shared" si="0"/>
        <v>12</v>
      </c>
      <c r="I9" s="37">
        <v>6</v>
      </c>
      <c r="J9" s="32">
        <v>0</v>
      </c>
      <c r="K9" s="32">
        <f>MEDIAN(3,3,2,2,2,2,1,2,2,1,1,2,2,2,2,2,2)</f>
        <v>2</v>
      </c>
      <c r="L9" s="32">
        <v>2</v>
      </c>
      <c r="M9" s="32">
        <v>1</v>
      </c>
      <c r="N9" s="32">
        <v>0</v>
      </c>
      <c r="O9" s="33">
        <f t="shared" si="1"/>
        <v>5</v>
      </c>
      <c r="P9" s="75"/>
      <c r="Q9" s="38">
        <v>6</v>
      </c>
      <c r="R9" s="32">
        <v>0</v>
      </c>
      <c r="S9" s="32">
        <f>MEDIAN(1,1,1,2,1,0,0,0,1,1,2,2,2,2,2,0,1,1,2,2)</f>
        <v>1</v>
      </c>
      <c r="T9" s="32">
        <v>3</v>
      </c>
      <c r="U9" s="32">
        <v>0</v>
      </c>
      <c r="V9" s="32">
        <v>1</v>
      </c>
      <c r="W9" s="33">
        <f t="shared" si="2"/>
        <v>5</v>
      </c>
      <c r="X9" s="75"/>
      <c r="Y9" s="165">
        <v>6</v>
      </c>
      <c r="Z9" s="32">
        <v>1</v>
      </c>
      <c r="AA9" s="32">
        <f>MEDIAN(3,2,2,3,3,2,2,3,3,3,2,3,3,3,2,3,2,3,3,3,3,2,3,3,2,2)</f>
        <v>3</v>
      </c>
      <c r="AB9" s="32">
        <v>1</v>
      </c>
      <c r="AC9" s="32">
        <v>1</v>
      </c>
      <c r="AD9" s="32">
        <v>1</v>
      </c>
      <c r="AE9" s="33">
        <f t="shared" si="3"/>
        <v>7</v>
      </c>
      <c r="AG9" s="37">
        <v>6</v>
      </c>
      <c r="AH9" s="32">
        <v>0</v>
      </c>
      <c r="AI9" s="32">
        <f>MEDIAN(3,2,2,2,2,3,3,3,3,3)</f>
        <v>3</v>
      </c>
      <c r="AJ9" s="32">
        <v>3</v>
      </c>
      <c r="AK9" s="32">
        <v>1</v>
      </c>
      <c r="AL9" s="32">
        <v>1</v>
      </c>
      <c r="AM9" s="33">
        <f t="shared" si="4"/>
        <v>8</v>
      </c>
      <c r="AO9" s="34">
        <v>6</v>
      </c>
      <c r="AP9" s="32">
        <v>1</v>
      </c>
      <c r="AQ9" s="32">
        <f>MEDIAN(2,1,1,1,1,1,2,2)</f>
        <v>1</v>
      </c>
      <c r="AR9" s="32">
        <v>2</v>
      </c>
      <c r="AS9" s="32">
        <v>1</v>
      </c>
      <c r="AT9" s="32">
        <v>1</v>
      </c>
      <c r="AU9" s="33">
        <f t="shared" si="5"/>
        <v>6</v>
      </c>
      <c r="AW9" s="38">
        <v>6</v>
      </c>
      <c r="AX9" s="32">
        <v>0</v>
      </c>
      <c r="AY9" s="32">
        <f>MEDIAN(3,2,3,2,3,3,2,2,2,3,2,3,3,3,3,3,3,3,1,1,3)</f>
        <v>3</v>
      </c>
      <c r="AZ9" s="32">
        <v>3</v>
      </c>
      <c r="BA9" s="32">
        <v>2</v>
      </c>
      <c r="BB9" s="32">
        <v>1</v>
      </c>
      <c r="BC9" s="33">
        <f t="shared" si="6"/>
        <v>9</v>
      </c>
      <c r="BE9" s="37">
        <v>6</v>
      </c>
      <c r="BF9" s="32">
        <v>0</v>
      </c>
      <c r="BG9" s="32">
        <f>MEDIAN(2,2,1,1,1,1,0,1,1,2,0,1,1)</f>
        <v>1</v>
      </c>
      <c r="BH9" s="32">
        <v>2</v>
      </c>
      <c r="BI9" s="32">
        <v>0</v>
      </c>
      <c r="BJ9" s="32">
        <v>1</v>
      </c>
      <c r="BK9" s="33">
        <f t="shared" si="7"/>
        <v>4</v>
      </c>
      <c r="BM9" s="34">
        <v>6</v>
      </c>
      <c r="BN9" s="32">
        <v>0</v>
      </c>
      <c r="BO9" s="32">
        <f>MEDIAN(2,2,1,1,2,2,1,1,1,0,2,2,1,1,1,2,2,1,1)</f>
        <v>1</v>
      </c>
      <c r="BP9" s="32">
        <v>2</v>
      </c>
      <c r="BQ9" s="32">
        <v>1</v>
      </c>
      <c r="BR9" s="32">
        <v>1</v>
      </c>
      <c r="BS9" s="33">
        <f t="shared" si="8"/>
        <v>5</v>
      </c>
    </row>
    <row r="10" spans="1:71" x14ac:dyDescent="0.35">
      <c r="A10" s="39">
        <v>7</v>
      </c>
      <c r="B10" s="32">
        <v>1</v>
      </c>
      <c r="C10" s="32">
        <f>MEDIAN(3,3,3,3,3,3,3,3,2,3,2,3,3,3,3,2,3,3)</f>
        <v>3</v>
      </c>
      <c r="D10" s="32">
        <v>2</v>
      </c>
      <c r="E10" s="32">
        <v>0</v>
      </c>
      <c r="F10" s="32">
        <v>1</v>
      </c>
      <c r="G10" s="33">
        <f t="shared" si="0"/>
        <v>7</v>
      </c>
      <c r="I10" s="37">
        <v>7</v>
      </c>
      <c r="J10" s="32">
        <v>0</v>
      </c>
      <c r="K10" s="32">
        <f>MEDIAN(2,3,3,2,1,2,1,1,1,3)</f>
        <v>2</v>
      </c>
      <c r="L10" s="32">
        <v>3</v>
      </c>
      <c r="M10" s="32">
        <v>1</v>
      </c>
      <c r="N10" s="32">
        <v>0</v>
      </c>
      <c r="O10" s="33">
        <f t="shared" si="1"/>
        <v>6</v>
      </c>
      <c r="P10" s="75"/>
      <c r="Q10" s="37">
        <v>7</v>
      </c>
      <c r="R10" s="32">
        <v>0</v>
      </c>
      <c r="S10" s="32">
        <f>MEDIAN(2,1,1,1,1,1,1,1,2)</f>
        <v>1</v>
      </c>
      <c r="T10" s="32">
        <v>2</v>
      </c>
      <c r="U10" s="32">
        <v>0</v>
      </c>
      <c r="V10" s="32">
        <v>1</v>
      </c>
      <c r="W10" s="33">
        <f t="shared" si="2"/>
        <v>4</v>
      </c>
      <c r="X10" s="75"/>
      <c r="Y10" s="165">
        <v>7</v>
      </c>
      <c r="Z10" s="32">
        <v>1</v>
      </c>
      <c r="AA10" s="32">
        <f>MEDIAN(3,3,3,2,2,3,3,3,3)</f>
        <v>3</v>
      </c>
      <c r="AB10" s="32">
        <v>2</v>
      </c>
      <c r="AC10" s="32">
        <v>0</v>
      </c>
      <c r="AD10" s="32">
        <v>0</v>
      </c>
      <c r="AE10" s="33">
        <f t="shared" si="3"/>
        <v>6</v>
      </c>
      <c r="AG10" s="37">
        <v>7</v>
      </c>
      <c r="AH10" s="32">
        <v>0</v>
      </c>
      <c r="AI10" s="32">
        <f>MEDIAN(2,2,3,3,2,2,2,2)</f>
        <v>2</v>
      </c>
      <c r="AJ10" s="32">
        <v>2</v>
      </c>
      <c r="AK10" s="32">
        <v>0</v>
      </c>
      <c r="AL10" s="32">
        <v>1</v>
      </c>
      <c r="AM10" s="33">
        <f t="shared" si="4"/>
        <v>5</v>
      </c>
      <c r="AO10" s="34">
        <v>7</v>
      </c>
      <c r="AP10" s="32">
        <v>0</v>
      </c>
      <c r="AQ10" s="32">
        <f>MEDIAN(1,2,2,2,1,2,1,2,2,2,1)</f>
        <v>2</v>
      </c>
      <c r="AR10" s="32">
        <v>2</v>
      </c>
      <c r="AS10" s="32">
        <v>1</v>
      </c>
      <c r="AT10" s="32">
        <v>1</v>
      </c>
      <c r="AU10" s="33">
        <f t="shared" si="5"/>
        <v>6</v>
      </c>
      <c r="AW10" s="38">
        <v>7</v>
      </c>
      <c r="AX10" s="32">
        <v>1</v>
      </c>
      <c r="AY10" s="32">
        <f>MEDIAN(2,2,2,2,2,2,2,3,2,2,2)</f>
        <v>2</v>
      </c>
      <c r="AZ10" s="32">
        <v>3</v>
      </c>
      <c r="BA10" s="32">
        <v>2</v>
      </c>
      <c r="BB10" s="32">
        <v>1</v>
      </c>
      <c r="BC10" s="33">
        <f t="shared" si="6"/>
        <v>9</v>
      </c>
      <c r="BE10" s="37">
        <v>7</v>
      </c>
      <c r="BF10" s="32">
        <v>0</v>
      </c>
      <c r="BG10" s="32">
        <f>MEDIAN(3,2,2,2,2,2,2,1,1,1,2,3,1,0,3,1,1,2,2,2,3,2,2,0,0)</f>
        <v>2</v>
      </c>
      <c r="BH10" s="32">
        <v>2</v>
      </c>
      <c r="BI10" s="32">
        <v>1</v>
      </c>
      <c r="BJ10" s="32">
        <v>1</v>
      </c>
      <c r="BK10" s="33">
        <f t="shared" si="7"/>
        <v>6</v>
      </c>
      <c r="BM10" s="34">
        <v>7</v>
      </c>
      <c r="BN10" s="32">
        <v>0</v>
      </c>
      <c r="BO10" s="32">
        <f>MEDIAN(2,1,1,2,0,0,1,2,1,2,1,2,2,2,2,2,2,2,2,2,1,1,1,2,1,2,2)</f>
        <v>2</v>
      </c>
      <c r="BP10" s="32">
        <v>3</v>
      </c>
      <c r="BQ10" s="32">
        <v>1</v>
      </c>
      <c r="BR10" s="32">
        <v>1</v>
      </c>
      <c r="BS10" s="33">
        <f t="shared" si="8"/>
        <v>7</v>
      </c>
    </row>
    <row r="11" spans="1:71" x14ac:dyDescent="0.35">
      <c r="A11" s="34">
        <v>8</v>
      </c>
      <c r="B11" s="32">
        <v>1</v>
      </c>
      <c r="C11" s="32">
        <f>MEDIAN(3,3,3,3,3,3,3,3,2,3,3,3,3,3,3,3,3,3,3,3,2,3,3,3,3,3,2,3,2,3,3,2,3,3,3)</f>
        <v>3</v>
      </c>
      <c r="D11" s="32">
        <v>2</v>
      </c>
      <c r="E11" s="32">
        <v>1</v>
      </c>
      <c r="F11" s="32">
        <v>1</v>
      </c>
      <c r="G11" s="33">
        <f t="shared" si="0"/>
        <v>8</v>
      </c>
      <c r="I11" s="37">
        <v>8</v>
      </c>
      <c r="J11" s="32">
        <v>0</v>
      </c>
      <c r="K11" s="32">
        <f>MEDIAN(3,2,3,1,2,2,1,2,2,2,3,2,3,2)</f>
        <v>2</v>
      </c>
      <c r="L11" s="32">
        <v>3</v>
      </c>
      <c r="M11" s="32">
        <v>1</v>
      </c>
      <c r="N11" s="32">
        <v>1</v>
      </c>
      <c r="O11" s="33">
        <f t="shared" si="1"/>
        <v>7</v>
      </c>
      <c r="P11" s="75"/>
      <c r="Q11" s="37">
        <v>8</v>
      </c>
      <c r="R11" s="32">
        <v>0</v>
      </c>
      <c r="S11" s="32">
        <f>MEDIAN(0,0,1,1,2,1,2,2,2,1,2,0,0,2,2,1,1)</f>
        <v>1</v>
      </c>
      <c r="T11" s="32">
        <v>3</v>
      </c>
      <c r="U11" s="32">
        <v>1</v>
      </c>
      <c r="V11" s="32">
        <v>0</v>
      </c>
      <c r="W11" s="33">
        <f t="shared" si="2"/>
        <v>5</v>
      </c>
      <c r="X11" s="75"/>
      <c r="Y11" s="165">
        <v>8</v>
      </c>
      <c r="Z11" s="32">
        <v>0</v>
      </c>
      <c r="AA11" s="32">
        <f>MEDIAN(3,3,2,2,3,3,3)</f>
        <v>3</v>
      </c>
      <c r="AB11" s="32">
        <v>3</v>
      </c>
      <c r="AC11" s="32">
        <v>1</v>
      </c>
      <c r="AD11" s="32">
        <v>1</v>
      </c>
      <c r="AE11" s="33">
        <f t="shared" si="3"/>
        <v>8</v>
      </c>
      <c r="AG11" s="37">
        <v>8</v>
      </c>
      <c r="AH11" s="32">
        <v>1</v>
      </c>
      <c r="AI11" s="32">
        <f>MEDIAN(2,2,2,1,2,2,3,3,3,2,3,2)</f>
        <v>2</v>
      </c>
      <c r="AJ11" s="32">
        <v>3</v>
      </c>
      <c r="AK11" s="32">
        <v>1</v>
      </c>
      <c r="AL11" s="32">
        <v>1</v>
      </c>
      <c r="AM11" s="33">
        <f t="shared" si="4"/>
        <v>8</v>
      </c>
      <c r="AO11" s="37">
        <v>8</v>
      </c>
      <c r="AP11" s="32">
        <v>0</v>
      </c>
      <c r="AQ11" s="32">
        <f>MEDIAN(2,1,2,2,2,2,2,2)</f>
        <v>2</v>
      </c>
      <c r="AR11" s="32">
        <v>2</v>
      </c>
      <c r="AS11" s="32">
        <v>1</v>
      </c>
      <c r="AT11" s="32">
        <v>0</v>
      </c>
      <c r="AU11" s="33">
        <f t="shared" si="5"/>
        <v>5</v>
      </c>
      <c r="AW11" s="38">
        <v>8</v>
      </c>
      <c r="AX11" s="32">
        <v>1</v>
      </c>
      <c r="AY11" s="32">
        <f>MEDIAN(2,3,3,2)</f>
        <v>2.5</v>
      </c>
      <c r="AZ11" s="32">
        <v>3</v>
      </c>
      <c r="BA11" s="32" t="s">
        <v>31</v>
      </c>
      <c r="BB11" s="32">
        <v>3</v>
      </c>
      <c r="BC11" s="33">
        <f t="shared" si="6"/>
        <v>9.5</v>
      </c>
      <c r="BE11" s="34">
        <v>8</v>
      </c>
      <c r="BF11" s="32">
        <v>1</v>
      </c>
      <c r="BG11" s="32">
        <f>MEDIAN(3,3,3,2,2,2)</f>
        <v>2.5</v>
      </c>
      <c r="BH11" s="32">
        <v>2</v>
      </c>
      <c r="BI11" s="32">
        <v>3</v>
      </c>
      <c r="BJ11" s="32">
        <v>1</v>
      </c>
      <c r="BK11" s="33">
        <f t="shared" si="7"/>
        <v>9.5</v>
      </c>
      <c r="BM11" s="34">
        <v>8</v>
      </c>
      <c r="BN11" s="32">
        <v>1</v>
      </c>
      <c r="BO11" s="32">
        <f>MEDIAN(1,1,1,2,2,1,2,1,2,2,2,2,2,2,1,1,2,2,2,1,1,1,1,1,1,1,2,1,1,1,1,2,1,1,1,1,1,1,0,2,2,2,1,1,2,2,2)</f>
        <v>1</v>
      </c>
      <c r="BP11" s="32">
        <v>2</v>
      </c>
      <c r="BQ11" s="32">
        <v>1</v>
      </c>
      <c r="BR11" s="32">
        <v>1</v>
      </c>
      <c r="BS11" s="33">
        <f t="shared" si="8"/>
        <v>6</v>
      </c>
    </row>
    <row r="12" spans="1:71" x14ac:dyDescent="0.35">
      <c r="A12" s="39">
        <v>9</v>
      </c>
      <c r="B12" s="32">
        <v>2</v>
      </c>
      <c r="C12" s="32">
        <f>MEDIAN(3,2,3,3,3,3,3,3,3,2,3,3,3,3,3,3,3,3,2,3)</f>
        <v>3</v>
      </c>
      <c r="D12" s="26">
        <v>2</v>
      </c>
      <c r="E12" s="26">
        <v>0</v>
      </c>
      <c r="F12" s="32">
        <v>1</v>
      </c>
      <c r="G12" s="33">
        <f t="shared" si="0"/>
        <v>8</v>
      </c>
      <c r="I12" s="34">
        <v>9</v>
      </c>
      <c r="J12" s="32">
        <v>0</v>
      </c>
      <c r="K12" s="32">
        <f>MEDIAN(2,2,2,2,2,2,3,2,3,3,1,2,3,2,2,2,2)</f>
        <v>2</v>
      </c>
      <c r="L12" s="26">
        <v>2</v>
      </c>
      <c r="M12" s="26">
        <v>0</v>
      </c>
      <c r="N12" s="32">
        <v>1</v>
      </c>
      <c r="O12" s="33">
        <f t="shared" si="1"/>
        <v>5</v>
      </c>
      <c r="P12" s="75"/>
      <c r="Q12" s="37">
        <v>9</v>
      </c>
      <c r="R12" s="32">
        <v>1</v>
      </c>
      <c r="S12" s="32">
        <f>MEDIAN(3,2,2,0,1,1,2,2,0,1,0,0,0,2,2,0,2)</f>
        <v>1</v>
      </c>
      <c r="T12" s="26">
        <v>2</v>
      </c>
      <c r="U12" s="26">
        <v>1</v>
      </c>
      <c r="V12" s="32">
        <v>0</v>
      </c>
      <c r="W12" s="33">
        <f t="shared" si="2"/>
        <v>5</v>
      </c>
      <c r="X12" s="75"/>
      <c r="Y12" s="165">
        <v>9</v>
      </c>
      <c r="Z12" s="32">
        <v>1</v>
      </c>
      <c r="AA12" s="32">
        <f>MEDIAN(2,2,3,2,3,3)</f>
        <v>2.5</v>
      </c>
      <c r="AB12" s="26">
        <v>2</v>
      </c>
      <c r="AC12" s="26">
        <v>1</v>
      </c>
      <c r="AD12" s="32">
        <v>0</v>
      </c>
      <c r="AE12" s="33">
        <f t="shared" si="3"/>
        <v>6.5</v>
      </c>
      <c r="AG12" s="37">
        <v>9</v>
      </c>
      <c r="AH12" s="32">
        <v>0</v>
      </c>
      <c r="AI12" s="32">
        <f>MEDIAN(3,1,2,2,2,2,2,3,3,2,2,2,2,2)</f>
        <v>2</v>
      </c>
      <c r="AJ12" s="26">
        <v>2</v>
      </c>
      <c r="AK12" s="26">
        <v>1</v>
      </c>
      <c r="AL12" s="32">
        <v>1</v>
      </c>
      <c r="AM12" s="33">
        <f t="shared" si="4"/>
        <v>6</v>
      </c>
      <c r="AO12" s="34">
        <v>9</v>
      </c>
      <c r="AP12" s="32">
        <v>0</v>
      </c>
      <c r="AQ12" s="32">
        <f>MEDIAN(2,1,2,1,1,1,1,2,2,2,2,2,2,2,1,2,2,2,2,2,2,1,1,2,3,3,3,2,2)</f>
        <v>2</v>
      </c>
      <c r="AR12" s="26">
        <v>2</v>
      </c>
      <c r="AS12" s="26">
        <v>1</v>
      </c>
      <c r="AT12" s="32">
        <v>0</v>
      </c>
      <c r="AU12" s="33">
        <f t="shared" si="5"/>
        <v>5</v>
      </c>
      <c r="AW12" s="37">
        <v>9</v>
      </c>
      <c r="AX12" s="32">
        <v>1</v>
      </c>
      <c r="AY12" s="32">
        <f>MEDIAN(3,1,2,2,2,3,2,2,2,3,3,3)</f>
        <v>2</v>
      </c>
      <c r="AZ12" s="26">
        <v>3</v>
      </c>
      <c r="BA12" s="26">
        <v>1</v>
      </c>
      <c r="BB12" s="32">
        <v>0</v>
      </c>
      <c r="BC12" s="33">
        <f t="shared" si="6"/>
        <v>7</v>
      </c>
      <c r="BE12" s="34">
        <v>9</v>
      </c>
      <c r="BF12" s="32">
        <v>1</v>
      </c>
      <c r="BG12" s="32">
        <f>MEDIAN(1,1,2,1,1,1,2,0,1,2,3,2,2,1,0,1,1,1,2,1,3,1,0,2,2,2,1,1,0,1,0,2,2,1,1,3)</f>
        <v>1</v>
      </c>
      <c r="BH12" s="26">
        <v>1</v>
      </c>
      <c r="BI12" s="26">
        <v>1</v>
      </c>
      <c r="BJ12" s="32">
        <v>1</v>
      </c>
      <c r="BK12" s="33">
        <f t="shared" si="7"/>
        <v>5</v>
      </c>
      <c r="BM12" s="34">
        <v>9</v>
      </c>
      <c r="BN12" s="32">
        <v>0</v>
      </c>
      <c r="BO12" s="32">
        <f>MEDIAN(2,2,2,1,1,1,2,1,1,0,0,1,2,1,2,1,1,3,2,1,1,2,2,2,1,0,1,1,2,2,2,1,2,2,2,0)</f>
        <v>1</v>
      </c>
      <c r="BP12" s="26">
        <v>2</v>
      </c>
      <c r="BQ12" s="26">
        <v>1</v>
      </c>
      <c r="BR12" s="32">
        <v>1</v>
      </c>
      <c r="BS12" s="33">
        <f t="shared" si="8"/>
        <v>5</v>
      </c>
    </row>
    <row r="13" spans="1:71" x14ac:dyDescent="0.35">
      <c r="A13" s="39">
        <v>10</v>
      </c>
      <c r="B13" s="32">
        <v>1</v>
      </c>
      <c r="C13" s="32">
        <f>MEDIAN(3,3,3,3,3,3,3,3,3,2,3,3,3,3,3,3,3,3,3,3,3)</f>
        <v>3</v>
      </c>
      <c r="D13" s="26">
        <v>2</v>
      </c>
      <c r="E13" s="26">
        <v>1</v>
      </c>
      <c r="F13" s="32">
        <v>1</v>
      </c>
      <c r="G13" s="33">
        <f t="shared" si="0"/>
        <v>8</v>
      </c>
      <c r="I13" s="37">
        <v>10</v>
      </c>
      <c r="J13" s="32">
        <v>0</v>
      </c>
      <c r="K13" s="32">
        <f>MEDIAN(1,1,1,3,3,2,1,1,2,2,2)</f>
        <v>2</v>
      </c>
      <c r="L13" s="26">
        <v>2</v>
      </c>
      <c r="M13" s="26">
        <v>0</v>
      </c>
      <c r="N13" s="32">
        <v>1</v>
      </c>
      <c r="O13" s="33">
        <f t="shared" si="1"/>
        <v>5</v>
      </c>
      <c r="P13" s="75"/>
      <c r="Q13" s="37">
        <v>10</v>
      </c>
      <c r="R13" s="32">
        <v>0</v>
      </c>
      <c r="S13" s="32">
        <f>MEDIAN(0,1,1,1,2,0,2,1,1,0,1,2,2)</f>
        <v>1</v>
      </c>
      <c r="T13" s="26">
        <v>3</v>
      </c>
      <c r="U13" s="26">
        <v>1</v>
      </c>
      <c r="V13" s="32">
        <v>1</v>
      </c>
      <c r="W13" s="33">
        <f t="shared" si="2"/>
        <v>6</v>
      </c>
      <c r="X13" s="75"/>
      <c r="Y13" s="165">
        <v>10</v>
      </c>
      <c r="Z13" s="32">
        <v>1</v>
      </c>
      <c r="AA13" s="32">
        <f>MEDIAN(3,2,3,2,2,3,3,3,3,3,2,3,2,3,3)</f>
        <v>3</v>
      </c>
      <c r="AB13" s="26">
        <v>3</v>
      </c>
      <c r="AC13" s="26">
        <v>1</v>
      </c>
      <c r="AD13" s="32">
        <v>1</v>
      </c>
      <c r="AE13" s="33">
        <f t="shared" si="3"/>
        <v>9</v>
      </c>
      <c r="AG13" s="37">
        <v>10</v>
      </c>
      <c r="AH13" s="32">
        <v>0</v>
      </c>
      <c r="AI13" s="32">
        <f>MEDIAN(2,2,3,2,2,2,2,1,2,2,2,3,2,2,3,2,2,3,3)</f>
        <v>2</v>
      </c>
      <c r="AJ13" s="26">
        <v>2</v>
      </c>
      <c r="AK13" s="26">
        <v>0</v>
      </c>
      <c r="AL13" s="32">
        <v>0</v>
      </c>
      <c r="AM13" s="33">
        <f t="shared" si="4"/>
        <v>4</v>
      </c>
      <c r="AO13" s="34">
        <v>10</v>
      </c>
      <c r="AP13" s="32">
        <v>1</v>
      </c>
      <c r="AQ13" s="32">
        <f>MEDIAN(1,2,2,2,2,2,1,1,2,2,2)</f>
        <v>2</v>
      </c>
      <c r="AR13" s="26">
        <v>3</v>
      </c>
      <c r="AS13" s="26">
        <v>1</v>
      </c>
      <c r="AT13" s="32">
        <v>1</v>
      </c>
      <c r="AU13" s="33">
        <f t="shared" si="5"/>
        <v>8</v>
      </c>
      <c r="AW13" s="39">
        <v>10</v>
      </c>
      <c r="AX13" s="32">
        <v>0</v>
      </c>
      <c r="AY13" s="32">
        <f>MEDIAN(3,3,3,1,1,3,3,2,2,2,1,1,1)</f>
        <v>2</v>
      </c>
      <c r="AZ13" s="26">
        <v>2</v>
      </c>
      <c r="BA13" s="26">
        <v>1</v>
      </c>
      <c r="BB13" s="32">
        <v>0</v>
      </c>
      <c r="BC13" s="33">
        <f t="shared" si="6"/>
        <v>5</v>
      </c>
      <c r="BE13" s="37">
        <v>10</v>
      </c>
      <c r="BF13" s="32">
        <v>0</v>
      </c>
      <c r="BG13" s="32">
        <f>MEDIAN(2,3,0,2,1,1,1,1,2,2,2,1,0,2,0,0,2,2,1,2,2)</f>
        <v>2</v>
      </c>
      <c r="BH13" s="26">
        <v>2</v>
      </c>
      <c r="BI13" s="26">
        <v>0</v>
      </c>
      <c r="BJ13" s="32">
        <v>1</v>
      </c>
      <c r="BK13" s="33">
        <f t="shared" si="7"/>
        <v>5</v>
      </c>
      <c r="BM13" s="34">
        <v>10</v>
      </c>
      <c r="BN13" s="32">
        <v>0</v>
      </c>
      <c r="BO13" s="32">
        <f>MEDIAN(1,1,2,1,2,2,2,1,1,1,2)</f>
        <v>1</v>
      </c>
      <c r="BP13" s="26">
        <v>2</v>
      </c>
      <c r="BQ13" s="26">
        <v>0</v>
      </c>
      <c r="BR13" s="32">
        <v>1</v>
      </c>
      <c r="BS13" s="33">
        <f t="shared" si="8"/>
        <v>4</v>
      </c>
    </row>
    <row r="14" spans="1:71" x14ac:dyDescent="0.35">
      <c r="A14" s="34">
        <v>11</v>
      </c>
      <c r="B14" s="32">
        <v>1</v>
      </c>
      <c r="C14" s="32">
        <f>MEDIAN(3,3,3,3,3,3,3,3,3,3,2,3,3,3,3,3,3,3,3,3,3,3,3,3)</f>
        <v>3</v>
      </c>
      <c r="D14" s="32">
        <v>3</v>
      </c>
      <c r="E14" s="32">
        <v>1</v>
      </c>
      <c r="F14" s="32">
        <v>0</v>
      </c>
      <c r="G14" s="33">
        <f t="shared" si="0"/>
        <v>8</v>
      </c>
      <c r="I14" s="37">
        <v>11</v>
      </c>
      <c r="J14" s="32">
        <v>0</v>
      </c>
      <c r="K14" s="32">
        <f>MEDIAN(2,2,1,1,1,3,2,0,1,1,0,0,1,2,0,0,1,2,1,0)</f>
        <v>1</v>
      </c>
      <c r="L14" s="32">
        <v>3</v>
      </c>
      <c r="M14" s="32">
        <v>0</v>
      </c>
      <c r="N14" s="32">
        <v>1</v>
      </c>
      <c r="O14" s="33">
        <f t="shared" si="1"/>
        <v>5</v>
      </c>
      <c r="P14" s="75"/>
      <c r="Q14" s="37">
        <v>11</v>
      </c>
      <c r="R14" s="32">
        <v>0</v>
      </c>
      <c r="S14" s="32">
        <f>MEDIAN(0,2,1,2,2,2,1,2,2,1,0,0,1,1,1,1,2,2,1,1,2,3)</f>
        <v>1</v>
      </c>
      <c r="T14" s="32">
        <v>2</v>
      </c>
      <c r="U14" s="32">
        <v>0</v>
      </c>
      <c r="V14" s="32">
        <v>1</v>
      </c>
      <c r="W14" s="33">
        <f t="shared" si="2"/>
        <v>4</v>
      </c>
      <c r="X14" s="75"/>
      <c r="Y14" s="165">
        <v>11</v>
      </c>
      <c r="Z14" s="32">
        <v>2</v>
      </c>
      <c r="AA14" s="32">
        <f>MEDIAN(2,2,3,3)</f>
        <v>2.5</v>
      </c>
      <c r="AB14" s="32">
        <v>3</v>
      </c>
      <c r="AC14" s="32">
        <v>1</v>
      </c>
      <c r="AD14" s="32">
        <v>0</v>
      </c>
      <c r="AE14" s="33">
        <f t="shared" si="3"/>
        <v>8.5</v>
      </c>
      <c r="AG14" s="37">
        <v>11</v>
      </c>
      <c r="AH14" s="32">
        <v>0</v>
      </c>
      <c r="AI14" s="32">
        <f>MEDIAN(2,2,3,3,2,2,1,2,2,2,2,3,3)</f>
        <v>2</v>
      </c>
      <c r="AJ14" s="32">
        <v>2</v>
      </c>
      <c r="AK14" s="32">
        <v>0</v>
      </c>
      <c r="AL14" s="32">
        <v>1</v>
      </c>
      <c r="AM14" s="33">
        <f t="shared" si="4"/>
        <v>5</v>
      </c>
      <c r="AO14" s="34">
        <v>11</v>
      </c>
      <c r="AP14" s="32">
        <v>0</v>
      </c>
      <c r="AQ14" s="32">
        <f>MEDIAN(2,0,2,0,1,1,2,2,2,2,2,2,2,2,2,2,1,1,1,2)</f>
        <v>2</v>
      </c>
      <c r="AR14" s="32">
        <v>2</v>
      </c>
      <c r="AS14" s="32">
        <v>0</v>
      </c>
      <c r="AT14" s="32">
        <v>1</v>
      </c>
      <c r="AU14" s="33">
        <f t="shared" si="5"/>
        <v>5</v>
      </c>
      <c r="AW14" s="37">
        <v>11</v>
      </c>
      <c r="AX14" s="32">
        <v>2</v>
      </c>
      <c r="AY14" s="32">
        <f>MEDIAN(3,2,2,3,2,3,2,1,2,2,1,2,2,3,2,2)</f>
        <v>2</v>
      </c>
      <c r="AZ14" s="32">
        <v>3</v>
      </c>
      <c r="BA14" s="32">
        <v>1</v>
      </c>
      <c r="BB14" s="32">
        <v>1</v>
      </c>
      <c r="BC14" s="33">
        <f t="shared" si="6"/>
        <v>9</v>
      </c>
      <c r="BE14" s="34">
        <v>11</v>
      </c>
      <c r="BF14" s="32">
        <v>1</v>
      </c>
      <c r="BG14" s="32">
        <f>MEDIAN(2,2,3,1,1,0,2,1,2,2,2,2,2,1,1,2,2,1,1,1,1,2,3,1,2,2,2,0,1,2,2,2,2,2,1,1,1,2,2,2,1,1,1,2,1,2,2,2,2,2,2,2,2,1,3,2,1,1,2,2,2,3,1,2,2,1,1,2,1)</f>
        <v>2</v>
      </c>
      <c r="BH14" s="32">
        <v>2</v>
      </c>
      <c r="BI14" s="32">
        <v>0</v>
      </c>
      <c r="BJ14" s="32">
        <v>1</v>
      </c>
      <c r="BK14" s="33">
        <f t="shared" si="7"/>
        <v>6</v>
      </c>
      <c r="BM14" s="37">
        <v>11</v>
      </c>
      <c r="BN14" s="32">
        <v>1</v>
      </c>
      <c r="BO14" s="32">
        <f>MEDIAN(2,2,1,1,2,1,1,1,0,0,1,1,2,1,1,2,0,0,1,0,0,2,2,2,2,2,2,1,2,2,1,1,2,1,0,1,2,2,2,0,1,1,2,3)</f>
        <v>1</v>
      </c>
      <c r="BP14" s="32">
        <v>2</v>
      </c>
      <c r="BQ14" s="32">
        <v>0</v>
      </c>
      <c r="BR14" s="32">
        <v>1</v>
      </c>
      <c r="BS14" s="33">
        <f t="shared" si="8"/>
        <v>5</v>
      </c>
    </row>
    <row r="15" spans="1:71" x14ac:dyDescent="0.35">
      <c r="A15" s="35">
        <v>12</v>
      </c>
      <c r="B15" s="32">
        <v>1</v>
      </c>
      <c r="C15" s="32">
        <f>MEDIAN(3,3,3,3,3,3,3,3,3,2,3,2,3,2,2,3,3,2,3,3,3,3,3,2,3,3,3,3,3,3,3,3,3,3,3,3,3,3)</f>
        <v>3</v>
      </c>
      <c r="D15" s="32">
        <v>3</v>
      </c>
      <c r="E15" s="32">
        <v>2</v>
      </c>
      <c r="F15" s="32">
        <v>1</v>
      </c>
      <c r="G15" s="33">
        <f t="shared" si="0"/>
        <v>10</v>
      </c>
      <c r="I15" s="37">
        <v>12</v>
      </c>
      <c r="J15" s="32">
        <v>0</v>
      </c>
      <c r="K15" s="32">
        <f>MEDIAN(3,1,2,2,2,1,2,2,2,2,2,1,2,2,2,1,2,2,2,1,1,0)</f>
        <v>2</v>
      </c>
      <c r="L15" s="32">
        <v>2</v>
      </c>
      <c r="M15" s="32">
        <v>1</v>
      </c>
      <c r="N15" s="32">
        <v>0</v>
      </c>
      <c r="O15" s="33">
        <f t="shared" si="1"/>
        <v>5</v>
      </c>
      <c r="P15" s="75"/>
      <c r="Q15" s="34">
        <v>12</v>
      </c>
      <c r="R15" s="32">
        <v>0</v>
      </c>
      <c r="S15" s="32">
        <f>MEDIAN(1,2,2,2,1,1,2,2,2,2,2,2,2,1,2,2,1,2,1,1,1,1,2,2,2,2,1,2,2,1,2,2,2,1,1,2,2,2)</f>
        <v>2</v>
      </c>
      <c r="T15" s="32">
        <v>2</v>
      </c>
      <c r="U15" s="32">
        <v>1</v>
      </c>
      <c r="V15" s="32">
        <v>1</v>
      </c>
      <c r="W15" s="33">
        <f t="shared" si="2"/>
        <v>6</v>
      </c>
      <c r="X15" s="75"/>
      <c r="Y15" s="34">
        <v>12</v>
      </c>
      <c r="Z15" s="32">
        <v>0</v>
      </c>
      <c r="AA15" s="32">
        <f>MEDIAN(3,2,3,3,2,2,3,2,2,3,2,3,2)</f>
        <v>2</v>
      </c>
      <c r="AB15" s="32">
        <v>2</v>
      </c>
      <c r="AC15" s="32">
        <v>0</v>
      </c>
      <c r="AD15" s="32">
        <v>1</v>
      </c>
      <c r="AE15" s="33">
        <f t="shared" si="3"/>
        <v>5</v>
      </c>
      <c r="AG15" s="37">
        <v>12</v>
      </c>
      <c r="AH15" s="32">
        <v>0</v>
      </c>
      <c r="AI15" s="32">
        <f>MEDIAN(2,3,2,2,2,3)</f>
        <v>2</v>
      </c>
      <c r="AJ15" s="32">
        <v>2</v>
      </c>
      <c r="AK15" s="32">
        <v>0</v>
      </c>
      <c r="AL15" s="32">
        <v>0</v>
      </c>
      <c r="AM15" s="33">
        <f t="shared" si="4"/>
        <v>4</v>
      </c>
      <c r="AO15" s="37">
        <v>12</v>
      </c>
      <c r="AP15" s="32">
        <v>0</v>
      </c>
      <c r="AQ15" s="32">
        <f>MEDIAN(2,2,1,1,1,1,1,2,2,2,2,1,1,2,2,2,2,2,2)</f>
        <v>2</v>
      </c>
      <c r="AR15" s="32">
        <v>2</v>
      </c>
      <c r="AS15" s="32">
        <v>1</v>
      </c>
      <c r="AT15" s="32">
        <v>0</v>
      </c>
      <c r="AU15" s="33">
        <f t="shared" si="5"/>
        <v>5</v>
      </c>
      <c r="AW15" s="39">
        <v>12</v>
      </c>
      <c r="AX15" s="32">
        <v>2</v>
      </c>
      <c r="AY15" s="32">
        <f>MEDIAN(2,3,3,2,3,2)</f>
        <v>2.5</v>
      </c>
      <c r="AZ15" s="32">
        <v>0</v>
      </c>
      <c r="BA15" s="32">
        <v>2</v>
      </c>
      <c r="BB15" s="32">
        <v>1</v>
      </c>
      <c r="BC15" s="33">
        <f t="shared" si="6"/>
        <v>7.5</v>
      </c>
      <c r="BE15" s="34">
        <v>12</v>
      </c>
      <c r="BF15" s="32">
        <v>1</v>
      </c>
      <c r="BG15" s="32">
        <f>MEDIAN(0,1,1,1,0,1,1,2,1,1,0,0,1,2,2,1,2,2,2)</f>
        <v>1</v>
      </c>
      <c r="BH15" s="32">
        <v>3</v>
      </c>
      <c r="BI15" s="32">
        <v>0</v>
      </c>
      <c r="BJ15" s="32">
        <v>2</v>
      </c>
      <c r="BK15" s="33">
        <f t="shared" si="7"/>
        <v>7</v>
      </c>
      <c r="BM15" s="37">
        <v>12</v>
      </c>
      <c r="BN15" s="32">
        <v>1</v>
      </c>
      <c r="BO15" s="32">
        <f>MEDIAN(0,1,1,3,1,1,1,2,1,1,0,1,1,1,2,2,2,2,1,0,1,2,2,1,1,2,2,2,1)</f>
        <v>1</v>
      </c>
      <c r="BP15" s="32">
        <v>2</v>
      </c>
      <c r="BQ15" s="32">
        <v>0</v>
      </c>
      <c r="BR15" s="32">
        <v>1</v>
      </c>
      <c r="BS15" s="33">
        <f t="shared" si="8"/>
        <v>5</v>
      </c>
    </row>
    <row r="16" spans="1:71" x14ac:dyDescent="0.35">
      <c r="A16" s="37">
        <v>13</v>
      </c>
      <c r="B16" s="32">
        <v>1</v>
      </c>
      <c r="C16" s="32">
        <f>MEDIAN(3,3,3,3,3,3,3,3,3,3,3,3,3,3,3,3,3,2,3,3,3,3,3,3,3,2,3,3)</f>
        <v>3</v>
      </c>
      <c r="D16" s="32">
        <v>2</v>
      </c>
      <c r="E16" s="32">
        <v>1</v>
      </c>
      <c r="F16" s="32">
        <v>1</v>
      </c>
      <c r="G16" s="33">
        <f t="shared" si="0"/>
        <v>8</v>
      </c>
      <c r="I16" s="37">
        <v>13</v>
      </c>
      <c r="J16" s="32">
        <v>1</v>
      </c>
      <c r="K16" s="32">
        <f>MEDIAN(2,2,2,2,2,2,1,0,1,2,2,0,1,2,2,1,1,3,2,2,2,1,2)</f>
        <v>2</v>
      </c>
      <c r="L16" s="32">
        <v>2</v>
      </c>
      <c r="M16" s="32">
        <v>1</v>
      </c>
      <c r="N16" s="32">
        <v>1</v>
      </c>
      <c r="O16" s="33">
        <f t="shared" si="1"/>
        <v>7</v>
      </c>
      <c r="P16" s="75"/>
      <c r="Q16" s="37">
        <v>13</v>
      </c>
      <c r="R16" s="32">
        <v>0</v>
      </c>
      <c r="S16" s="32">
        <f>MEDIAN(3,3,2,2,3,1,3,2,2,1,1,3,3,2,2,3,2,2,3,3,1,3,2,2,3,2,2)</f>
        <v>2</v>
      </c>
      <c r="T16" s="32">
        <v>2</v>
      </c>
      <c r="U16" s="32">
        <v>1</v>
      </c>
      <c r="V16" s="32">
        <v>0</v>
      </c>
      <c r="W16" s="33">
        <f t="shared" si="2"/>
        <v>5</v>
      </c>
      <c r="X16" s="75"/>
      <c r="Y16" s="165">
        <v>13</v>
      </c>
      <c r="Z16" s="32">
        <v>2</v>
      </c>
      <c r="AA16" s="32">
        <f>MEDIAN(3,3,3,2,2,3,3,3)</f>
        <v>3</v>
      </c>
      <c r="AB16" s="32">
        <v>3</v>
      </c>
      <c r="AC16" s="32" t="s">
        <v>31</v>
      </c>
      <c r="AD16" s="32">
        <v>3</v>
      </c>
      <c r="AE16" s="33">
        <f t="shared" si="3"/>
        <v>11</v>
      </c>
      <c r="AG16" s="37">
        <v>13</v>
      </c>
      <c r="AH16" s="32">
        <v>0</v>
      </c>
      <c r="AI16" s="32">
        <f>MEDIAN(2,3,3,2,1)</f>
        <v>2</v>
      </c>
      <c r="AJ16" s="32">
        <v>2</v>
      </c>
      <c r="AK16" s="32">
        <v>1</v>
      </c>
      <c r="AL16" s="32">
        <v>1</v>
      </c>
      <c r="AM16" s="33">
        <f t="shared" si="4"/>
        <v>6</v>
      </c>
      <c r="AO16" s="34">
        <v>13</v>
      </c>
      <c r="AP16" s="32">
        <v>0</v>
      </c>
      <c r="AQ16" s="32">
        <f>MEDIAN(1,1,2,2,1,1,1,1,2,2,2,1,2)</f>
        <v>1</v>
      </c>
      <c r="AR16" s="32">
        <v>2</v>
      </c>
      <c r="AS16" s="32">
        <v>1</v>
      </c>
      <c r="AT16" s="32">
        <v>1</v>
      </c>
      <c r="AU16" s="33">
        <f t="shared" si="5"/>
        <v>5</v>
      </c>
      <c r="AW16" s="39">
        <v>13</v>
      </c>
      <c r="AX16" s="32">
        <v>1</v>
      </c>
      <c r="AY16" s="32">
        <f>MEDIAN(3,3,3,2,2,2,2,2,2,3,2,2,2,2)</f>
        <v>2</v>
      </c>
      <c r="AZ16" s="32">
        <v>0</v>
      </c>
      <c r="BA16" s="32">
        <v>1</v>
      </c>
      <c r="BB16" s="32">
        <v>1</v>
      </c>
      <c r="BC16" s="33">
        <f t="shared" si="6"/>
        <v>5</v>
      </c>
      <c r="BE16" s="34">
        <v>13</v>
      </c>
      <c r="BF16" s="32">
        <v>0</v>
      </c>
      <c r="BG16" s="32">
        <f>MEDIAN(1,2,2,3,1,2,1,3,1,1,2,1,1,1,2,2,1,0,0,1,2,2)</f>
        <v>1</v>
      </c>
      <c r="BH16" s="32">
        <v>2</v>
      </c>
      <c r="BI16" s="32">
        <v>0</v>
      </c>
      <c r="BJ16" s="32">
        <v>2</v>
      </c>
      <c r="BK16" s="33">
        <f t="shared" si="7"/>
        <v>5</v>
      </c>
      <c r="BM16" s="37">
        <v>13</v>
      </c>
      <c r="BN16" s="32">
        <v>1</v>
      </c>
      <c r="BO16" s="32">
        <f>MEDIAN(0,0,1,1,2,2,1,1,1,1,1,1,0,2,0,0,2,1,2,2)</f>
        <v>1</v>
      </c>
      <c r="BP16" s="32">
        <v>2</v>
      </c>
      <c r="BQ16" s="32">
        <v>1</v>
      </c>
      <c r="BR16" s="32">
        <v>1</v>
      </c>
      <c r="BS16" s="33">
        <f t="shared" si="8"/>
        <v>6</v>
      </c>
    </row>
    <row r="17" spans="1:71" x14ac:dyDescent="0.35">
      <c r="A17" s="34">
        <v>14</v>
      </c>
      <c r="B17" s="32">
        <v>1</v>
      </c>
      <c r="C17" s="32">
        <f>MEDIAN(3,3,2,3,2,2,2,3,2,3,3,3)</f>
        <v>3</v>
      </c>
      <c r="D17" s="32">
        <v>2</v>
      </c>
      <c r="E17" s="32">
        <v>0</v>
      </c>
      <c r="F17" s="32">
        <v>1</v>
      </c>
      <c r="G17" s="33">
        <f t="shared" si="0"/>
        <v>7</v>
      </c>
      <c r="I17" s="37">
        <v>14</v>
      </c>
      <c r="J17" s="32">
        <v>0</v>
      </c>
      <c r="K17" s="32">
        <f>MEDIAN(2,1,1,2,3,1,2,2,3,1,3,2,2,2,2,2,2,2,1)</f>
        <v>2</v>
      </c>
      <c r="L17" s="32">
        <v>3</v>
      </c>
      <c r="M17" s="32">
        <v>0</v>
      </c>
      <c r="N17" s="32">
        <v>0</v>
      </c>
      <c r="O17" s="33">
        <f t="shared" si="1"/>
        <v>5</v>
      </c>
      <c r="P17" s="75"/>
      <c r="Q17" s="37">
        <v>14</v>
      </c>
      <c r="R17" s="32">
        <v>0</v>
      </c>
      <c r="S17" s="32">
        <f>MEDIAN(0,1,1,2,1,1,1,1,0,0,1,1,2,2,2,2,0,1,1)</f>
        <v>1</v>
      </c>
      <c r="T17" s="32">
        <v>2</v>
      </c>
      <c r="U17" s="32">
        <v>0</v>
      </c>
      <c r="V17" s="32">
        <v>0</v>
      </c>
      <c r="W17" s="33">
        <f t="shared" si="2"/>
        <v>3</v>
      </c>
      <c r="X17" s="75"/>
      <c r="Y17" s="165">
        <v>14</v>
      </c>
      <c r="Z17" s="32">
        <v>1</v>
      </c>
      <c r="AA17" s="32">
        <f>MEDIAN(3,3,3,3,3,3,2,3,3,3,3,3,3,3,2,3,3)</f>
        <v>3</v>
      </c>
      <c r="AB17" s="32">
        <v>2</v>
      </c>
      <c r="AC17" s="32">
        <v>0</v>
      </c>
      <c r="AD17" s="32">
        <v>1</v>
      </c>
      <c r="AE17" s="33">
        <f t="shared" si="3"/>
        <v>7</v>
      </c>
      <c r="AG17" s="39">
        <v>14</v>
      </c>
      <c r="AH17" s="32">
        <v>2</v>
      </c>
      <c r="AI17" s="32">
        <f>MEDIAN(2,3,3,3,3,2,2,2,1,2,2,1)</f>
        <v>2</v>
      </c>
      <c r="AJ17" s="32">
        <v>2</v>
      </c>
      <c r="AK17" s="32">
        <v>0</v>
      </c>
      <c r="AL17" s="32">
        <v>1</v>
      </c>
      <c r="AM17" s="33">
        <f t="shared" si="4"/>
        <v>7</v>
      </c>
      <c r="AO17" s="34">
        <v>14</v>
      </c>
      <c r="AP17" s="32">
        <v>0</v>
      </c>
      <c r="AQ17" s="32">
        <f>MEDIAN(0,0,2,2,1,0,1,1,1,1,1,2,2,2,2)</f>
        <v>1</v>
      </c>
      <c r="AR17" s="32">
        <v>2</v>
      </c>
      <c r="AS17" s="32">
        <v>0</v>
      </c>
      <c r="AT17" s="32">
        <v>1</v>
      </c>
      <c r="AU17" s="33">
        <f t="shared" si="5"/>
        <v>4</v>
      </c>
      <c r="AW17" s="39">
        <v>14</v>
      </c>
      <c r="AX17" s="32">
        <v>1</v>
      </c>
      <c r="AY17" s="32">
        <f>MEDIAN(2,3,2,2,2,2)</f>
        <v>2</v>
      </c>
      <c r="AZ17" s="32">
        <v>2</v>
      </c>
      <c r="BA17" s="32">
        <v>2</v>
      </c>
      <c r="BB17" s="32">
        <v>0</v>
      </c>
      <c r="BC17" s="33">
        <f t="shared" si="6"/>
        <v>7</v>
      </c>
      <c r="BE17" s="34">
        <v>14</v>
      </c>
      <c r="BF17" s="32">
        <v>1</v>
      </c>
      <c r="BG17" s="32">
        <f>MEDIAN(1,2,0,1,3,2,0,1,1,1,2,1,1,1,3,2)</f>
        <v>1</v>
      </c>
      <c r="BH17" s="32">
        <v>3</v>
      </c>
      <c r="BI17" s="32">
        <v>1</v>
      </c>
      <c r="BJ17" s="32">
        <v>1</v>
      </c>
      <c r="BK17" s="33">
        <f t="shared" si="7"/>
        <v>7</v>
      </c>
      <c r="BM17" s="34">
        <v>14</v>
      </c>
      <c r="BN17" s="32">
        <v>0</v>
      </c>
      <c r="BO17" s="32">
        <f>MEDIAN(2,3,2,2,2,2,2,2,2,2,1,2,2,2)</f>
        <v>2</v>
      </c>
      <c r="BP17" s="32">
        <v>2</v>
      </c>
      <c r="BQ17" s="32">
        <v>0</v>
      </c>
      <c r="BR17" s="32">
        <v>1</v>
      </c>
      <c r="BS17" s="33">
        <f t="shared" si="8"/>
        <v>5</v>
      </c>
    </row>
    <row r="18" spans="1:71" x14ac:dyDescent="0.35">
      <c r="A18" s="37">
        <v>15</v>
      </c>
      <c r="B18" s="32">
        <v>1</v>
      </c>
      <c r="C18" s="32">
        <f>MEDIAN(2,3,3,3,3,3,3,2,3,3,3,3,3,3,3,3,3,2,2,3)</f>
        <v>3</v>
      </c>
      <c r="D18" s="32">
        <v>2</v>
      </c>
      <c r="E18" s="32">
        <v>1</v>
      </c>
      <c r="F18" s="32">
        <v>1</v>
      </c>
      <c r="G18" s="33">
        <f t="shared" si="0"/>
        <v>8</v>
      </c>
      <c r="I18" s="37">
        <v>15</v>
      </c>
      <c r="J18" s="32">
        <v>0</v>
      </c>
      <c r="K18" s="32">
        <f>MEDIAN(2,1,2,1,2,2,2,2,2,2,2,2,2,2,3,2,2,1,2,2)</f>
        <v>2</v>
      </c>
      <c r="L18" s="32">
        <v>2</v>
      </c>
      <c r="M18" s="32">
        <v>0</v>
      </c>
      <c r="N18" s="32">
        <v>1</v>
      </c>
      <c r="O18" s="33">
        <f t="shared" si="1"/>
        <v>5</v>
      </c>
      <c r="P18" s="75"/>
      <c r="Q18" s="34">
        <v>15</v>
      </c>
      <c r="R18" s="32">
        <v>0</v>
      </c>
      <c r="S18" s="32">
        <f>MEDIAN(0,2,1,2,1,1,2,2,2,1,1,2,1,2,2,1,0,2,2,1,1)</f>
        <v>1</v>
      </c>
      <c r="T18" s="32">
        <v>2</v>
      </c>
      <c r="U18" s="32">
        <v>0</v>
      </c>
      <c r="V18" s="32">
        <v>0</v>
      </c>
      <c r="W18" s="33">
        <f t="shared" si="2"/>
        <v>3</v>
      </c>
      <c r="X18" s="75"/>
      <c r="Y18" s="42">
        <v>15</v>
      </c>
      <c r="Z18" s="43"/>
      <c r="AA18" s="43"/>
      <c r="AB18" s="43"/>
      <c r="AC18" s="43"/>
      <c r="AD18" s="43"/>
      <c r="AE18" s="44"/>
      <c r="AG18" s="39">
        <v>15</v>
      </c>
      <c r="AH18" s="32">
        <v>1</v>
      </c>
      <c r="AI18" s="32">
        <f>MEDIAN(2,2,2,1,2,2,2,3,1,2,2)</f>
        <v>2</v>
      </c>
      <c r="AJ18" s="32">
        <v>2</v>
      </c>
      <c r="AK18" s="32">
        <v>0</v>
      </c>
      <c r="AL18" s="32">
        <v>1</v>
      </c>
      <c r="AM18" s="33">
        <f t="shared" si="4"/>
        <v>6</v>
      </c>
      <c r="AO18" s="37">
        <v>15</v>
      </c>
      <c r="AP18" s="32">
        <v>0</v>
      </c>
      <c r="AQ18" s="32">
        <f>MEDIAN(1,1,0,1,1,1,2,1,1,1,1,1,2,0,1,2,2,2,2)</f>
        <v>1</v>
      </c>
      <c r="AR18" s="32">
        <v>1</v>
      </c>
      <c r="AS18" s="32">
        <v>1</v>
      </c>
      <c r="AT18" s="32">
        <v>1</v>
      </c>
      <c r="AU18" s="33">
        <f t="shared" si="5"/>
        <v>4</v>
      </c>
      <c r="AW18" s="38">
        <v>15</v>
      </c>
      <c r="AX18" s="32">
        <v>1</v>
      </c>
      <c r="AY18" s="32">
        <f>MEDIAN(3,3,2,3,2,3,2)</f>
        <v>3</v>
      </c>
      <c r="AZ18" s="32">
        <v>3</v>
      </c>
      <c r="BA18" s="32">
        <v>1</v>
      </c>
      <c r="BB18" s="32">
        <v>1</v>
      </c>
      <c r="BC18" s="33">
        <f t="shared" si="6"/>
        <v>9</v>
      </c>
      <c r="BE18" s="34">
        <v>15</v>
      </c>
      <c r="BF18" s="32">
        <v>1</v>
      </c>
      <c r="BG18" s="32">
        <f>MEDIAN(2,2,2,2,1,2,2,2,2,1,0,3,2,2,2,2,2,2)</f>
        <v>2</v>
      </c>
      <c r="BH18" s="32">
        <v>2</v>
      </c>
      <c r="BI18" s="32">
        <v>0</v>
      </c>
      <c r="BJ18" s="32">
        <v>1</v>
      </c>
      <c r="BK18" s="33">
        <f t="shared" si="7"/>
        <v>6</v>
      </c>
      <c r="BM18" s="37">
        <v>15</v>
      </c>
      <c r="BN18" s="32">
        <v>0</v>
      </c>
      <c r="BO18" s="32">
        <f>MEDIAN(2,1,1,1,1,2,1,1,1,1,2,2,2,2,2,2,2,2,1,2,2,0,2,2,1,2,2,1,1,1,1)</f>
        <v>2</v>
      </c>
      <c r="BP18" s="32">
        <v>2</v>
      </c>
      <c r="BQ18" s="32">
        <v>1</v>
      </c>
      <c r="BR18" s="32">
        <v>1</v>
      </c>
      <c r="BS18" s="33">
        <f t="shared" si="8"/>
        <v>6</v>
      </c>
    </row>
    <row r="19" spans="1:71" x14ac:dyDescent="0.35">
      <c r="A19" s="34">
        <v>16</v>
      </c>
      <c r="B19" s="32">
        <v>1</v>
      </c>
      <c r="C19" s="32">
        <f>MEDIAN(3,3,3,3,3,3,3,3,2,3,3,3,3,3,3,3,3,3,3,3,3,3,3)</f>
        <v>3</v>
      </c>
      <c r="D19" s="32">
        <v>2</v>
      </c>
      <c r="E19" s="32">
        <v>0</v>
      </c>
      <c r="F19" s="32">
        <v>1</v>
      </c>
      <c r="G19" s="33">
        <f t="shared" si="0"/>
        <v>7</v>
      </c>
      <c r="I19" s="34">
        <v>16</v>
      </c>
      <c r="J19" s="32">
        <v>0</v>
      </c>
      <c r="K19" s="32">
        <f>MEDIAN(0,2,1,1,1,1,2,1,2,0,1,1,2,0,1,1,2,2,2,1,1,2,1,1,1,1,2,2,1,0,0,2,0,1,2,0,1,3,1,0,1,2,2,1,1,1,1,1,0,2,2,2,0,2,1,1,1,0,0,1,1,1,1,1,0,0,1)</f>
        <v>1</v>
      </c>
      <c r="L19" s="32">
        <v>3</v>
      </c>
      <c r="M19" s="32">
        <v>0</v>
      </c>
      <c r="N19" s="32">
        <v>1</v>
      </c>
      <c r="O19" s="33">
        <f t="shared" si="1"/>
        <v>5</v>
      </c>
      <c r="P19" s="75"/>
      <c r="Q19" s="37">
        <v>16</v>
      </c>
      <c r="R19" s="32">
        <v>1</v>
      </c>
      <c r="S19" s="32">
        <f>MEDIAN(0,1,2,2,2,1,2,1,2,2)</f>
        <v>2</v>
      </c>
      <c r="T19" s="32">
        <v>1</v>
      </c>
      <c r="U19" s="32">
        <v>1</v>
      </c>
      <c r="V19" s="32">
        <v>1</v>
      </c>
      <c r="W19" s="33">
        <f t="shared" si="2"/>
        <v>6</v>
      </c>
      <c r="X19" s="75"/>
      <c r="Y19" s="42">
        <v>16</v>
      </c>
      <c r="Z19" s="43"/>
      <c r="AA19" s="43"/>
      <c r="AB19" s="43"/>
      <c r="AC19" s="43"/>
      <c r="AD19" s="43"/>
      <c r="AE19" s="44"/>
      <c r="AG19" s="34">
        <v>16</v>
      </c>
      <c r="AH19" s="32">
        <v>1</v>
      </c>
      <c r="AI19" s="32">
        <f>MEDIAN(1,2,2,2,1,2,2,1,1,1,1,1,2,2,2,2,2,1,1,1,2,2,2,2,2,3,2,2,1,2,1,2,2,0,1,2,1,0,2,1)</f>
        <v>2</v>
      </c>
      <c r="AJ19" s="32">
        <v>2</v>
      </c>
      <c r="AK19" s="32">
        <v>1</v>
      </c>
      <c r="AL19" s="32">
        <v>1</v>
      </c>
      <c r="AM19" s="33">
        <f t="shared" si="4"/>
        <v>7</v>
      </c>
      <c r="AO19" s="34">
        <v>16</v>
      </c>
      <c r="AP19" s="32">
        <v>0</v>
      </c>
      <c r="AQ19" s="32">
        <f>MEDIAN(0,1,1,1,2,2,2,1,1,1,1,2,1,1,2)</f>
        <v>1</v>
      </c>
      <c r="AR19" s="32">
        <v>3</v>
      </c>
      <c r="AS19" s="32">
        <v>1</v>
      </c>
      <c r="AT19" s="32">
        <v>1</v>
      </c>
      <c r="AU19" s="33">
        <f t="shared" si="5"/>
        <v>6</v>
      </c>
      <c r="AW19" s="38">
        <v>16</v>
      </c>
      <c r="AX19" s="32">
        <v>2</v>
      </c>
      <c r="AY19" s="32">
        <f>MEDIAN(3,3,3,3,2,2,2,2,3,2,2,2,2,2,3,2,2,2,2,3,3,3)</f>
        <v>2</v>
      </c>
      <c r="AZ19" s="32">
        <v>3</v>
      </c>
      <c r="BA19" s="32">
        <v>3</v>
      </c>
      <c r="BB19" s="32">
        <v>1</v>
      </c>
      <c r="BC19" s="33">
        <f t="shared" si="6"/>
        <v>11</v>
      </c>
      <c r="BE19" s="34">
        <v>16</v>
      </c>
      <c r="BF19" s="32">
        <v>0</v>
      </c>
      <c r="BG19" s="32">
        <f>MEDIAN(2,2,1,2,2,1,2,2,1,3,2,1,1,1,1,1,1,1,1,1,1,0,2,2,2,1,2)</f>
        <v>1</v>
      </c>
      <c r="BH19" s="32">
        <v>2</v>
      </c>
      <c r="BI19" s="32">
        <v>0</v>
      </c>
      <c r="BJ19" s="32">
        <v>1</v>
      </c>
      <c r="BK19" s="33">
        <f t="shared" si="7"/>
        <v>4</v>
      </c>
      <c r="BM19" s="37">
        <v>16</v>
      </c>
      <c r="BN19" s="32">
        <v>1</v>
      </c>
      <c r="BO19" s="32">
        <f>MEDIAN(0,0,1,1,1,1,2,2,1,0,1,1,1,0,1,1,2,1,1)</f>
        <v>1</v>
      </c>
      <c r="BP19" s="32">
        <v>2</v>
      </c>
      <c r="BQ19" s="32">
        <v>0</v>
      </c>
      <c r="BR19" s="32">
        <v>1</v>
      </c>
      <c r="BS19" s="33">
        <f t="shared" si="8"/>
        <v>5</v>
      </c>
    </row>
    <row r="20" spans="1:71" x14ac:dyDescent="0.35">
      <c r="A20" s="35">
        <v>17</v>
      </c>
      <c r="B20" s="32">
        <v>0</v>
      </c>
      <c r="C20" s="32">
        <f>MEDIAN(3,2,3,3,3,2,2,3,3,3,3,3,3,3,3,3,3,3,3,3,3,3,3,3,3,3,3,2,3,3,3,3,3,3,3,3,3)</f>
        <v>3</v>
      </c>
      <c r="D20" s="32">
        <v>2</v>
      </c>
      <c r="E20" s="32">
        <v>1</v>
      </c>
      <c r="F20" s="32">
        <v>1</v>
      </c>
      <c r="G20" s="33">
        <f t="shared" si="0"/>
        <v>7</v>
      </c>
      <c r="I20" s="37">
        <v>17</v>
      </c>
      <c r="J20" s="32">
        <v>1</v>
      </c>
      <c r="K20" s="32">
        <f>MEDIAN(1,3,3,2,2,2,2,2,2,2,1,2,1,2,2,2,3,3,2)</f>
        <v>2</v>
      </c>
      <c r="L20" s="32">
        <v>3</v>
      </c>
      <c r="M20" s="32">
        <v>0</v>
      </c>
      <c r="N20" s="32">
        <v>1</v>
      </c>
      <c r="O20" s="33">
        <f t="shared" si="1"/>
        <v>7</v>
      </c>
      <c r="P20" s="75"/>
      <c r="Q20" s="35">
        <v>17</v>
      </c>
      <c r="R20" s="32">
        <v>0</v>
      </c>
      <c r="S20" s="32">
        <f>MEDIAN(0,1,1,1,1,1,1,0,1,1,1,0,1,1,2,1,1,2,2,2,1,0,0,1,1,0,1,1)</f>
        <v>1</v>
      </c>
      <c r="T20" s="32">
        <v>3</v>
      </c>
      <c r="U20" s="32">
        <v>0</v>
      </c>
      <c r="V20" s="32">
        <v>1</v>
      </c>
      <c r="W20" s="33">
        <f t="shared" si="2"/>
        <v>5</v>
      </c>
      <c r="X20" s="75"/>
      <c r="Y20" s="42">
        <v>17</v>
      </c>
      <c r="Z20" s="43"/>
      <c r="AA20" s="43"/>
      <c r="AB20" s="43"/>
      <c r="AC20" s="43"/>
      <c r="AD20" s="43"/>
      <c r="AE20" s="44"/>
      <c r="AG20" s="37">
        <v>17</v>
      </c>
      <c r="AH20" s="32">
        <v>0</v>
      </c>
      <c r="AI20" s="32">
        <f>MEDIAN(2,3,2,2,1,2,2,1,1,2,2,1,2,2)</f>
        <v>2</v>
      </c>
      <c r="AJ20" s="32">
        <v>2</v>
      </c>
      <c r="AK20" s="32">
        <v>1</v>
      </c>
      <c r="AL20" s="32">
        <v>1</v>
      </c>
      <c r="AM20" s="33">
        <f t="shared" si="4"/>
        <v>6</v>
      </c>
      <c r="AO20" s="37">
        <v>17</v>
      </c>
      <c r="AP20" s="32">
        <v>1</v>
      </c>
      <c r="AQ20" s="32">
        <f>MEDIAN(1,1,2,2,2,1,1,0,1,1)</f>
        <v>1</v>
      </c>
      <c r="AR20" s="32">
        <v>2</v>
      </c>
      <c r="AS20" s="32">
        <v>1</v>
      </c>
      <c r="AT20" s="32">
        <v>0</v>
      </c>
      <c r="AU20" s="33">
        <f t="shared" si="5"/>
        <v>5</v>
      </c>
      <c r="AW20" s="38">
        <v>17</v>
      </c>
      <c r="AX20" s="32">
        <v>1</v>
      </c>
      <c r="AY20" s="32">
        <f>MEDIAN(2,3,2,2,2,3,3,2,2)</f>
        <v>2</v>
      </c>
      <c r="AZ20" s="32">
        <v>3</v>
      </c>
      <c r="BA20" s="32">
        <v>2</v>
      </c>
      <c r="BB20" s="32">
        <v>1</v>
      </c>
      <c r="BC20" s="33">
        <f t="shared" si="6"/>
        <v>9</v>
      </c>
      <c r="BE20" s="39">
        <v>17</v>
      </c>
      <c r="BF20" s="32">
        <v>0</v>
      </c>
      <c r="BG20" s="32">
        <f>MEDIAN(1,1,1,2,2,2,1,1,3,3,1,0,2)</f>
        <v>1</v>
      </c>
      <c r="BH20" s="32">
        <v>1</v>
      </c>
      <c r="BI20" s="32">
        <v>1</v>
      </c>
      <c r="BJ20" s="32">
        <v>1</v>
      </c>
      <c r="BK20" s="33">
        <f t="shared" si="7"/>
        <v>4</v>
      </c>
      <c r="BM20" s="39">
        <v>17</v>
      </c>
      <c r="BN20" s="32">
        <v>1</v>
      </c>
      <c r="BO20" s="32">
        <f>MEDIAN(1,1,1,0,0,2,1,1,1,2,2,1,2,2,2,2,1,1,2,1)</f>
        <v>1</v>
      </c>
      <c r="BP20" s="32">
        <v>1</v>
      </c>
      <c r="BQ20" s="32">
        <v>0</v>
      </c>
      <c r="BR20" s="32">
        <v>1</v>
      </c>
      <c r="BS20" s="33">
        <f t="shared" si="8"/>
        <v>4</v>
      </c>
    </row>
    <row r="21" spans="1:71" x14ac:dyDescent="0.35">
      <c r="A21" s="35">
        <v>18</v>
      </c>
      <c r="B21" s="32">
        <v>1</v>
      </c>
      <c r="C21" s="32">
        <f>MEDIAN(3,3,2,2,3,3,3,3,3,3,3,2,3,2,3,3,2)</f>
        <v>3</v>
      </c>
      <c r="D21" s="32">
        <v>3</v>
      </c>
      <c r="E21" s="32">
        <v>0</v>
      </c>
      <c r="F21" s="32">
        <v>1</v>
      </c>
      <c r="G21" s="33">
        <f t="shared" si="0"/>
        <v>8</v>
      </c>
      <c r="I21" s="37">
        <v>18</v>
      </c>
      <c r="J21" s="32">
        <v>0</v>
      </c>
      <c r="K21" s="32">
        <f>MEDIAN(1,3,2,2,2,2,3,2,3,2,2,3,3,2,2,2,1,2)</f>
        <v>2</v>
      </c>
      <c r="L21" s="32">
        <v>2</v>
      </c>
      <c r="M21" s="32">
        <v>1</v>
      </c>
      <c r="N21" s="32">
        <v>0</v>
      </c>
      <c r="O21" s="33">
        <f t="shared" si="1"/>
        <v>5</v>
      </c>
      <c r="P21" s="75"/>
      <c r="Q21" s="34">
        <v>18</v>
      </c>
      <c r="R21" s="32">
        <v>0</v>
      </c>
      <c r="S21" s="32">
        <f>MEDIAN(1,1,1,1,2,1,1,1,1,1,1,1,2,1,1,1,0,1,1,1,1,1)</f>
        <v>1</v>
      </c>
      <c r="T21" s="32">
        <v>3</v>
      </c>
      <c r="U21" s="32">
        <v>1</v>
      </c>
      <c r="V21" s="32">
        <v>1</v>
      </c>
      <c r="W21" s="33">
        <f t="shared" si="2"/>
        <v>6</v>
      </c>
      <c r="X21" s="75"/>
      <c r="Y21" s="42">
        <v>18</v>
      </c>
      <c r="Z21" s="43"/>
      <c r="AA21" s="43"/>
      <c r="AB21" s="43"/>
      <c r="AC21" s="43"/>
      <c r="AD21" s="43"/>
      <c r="AE21" s="44"/>
      <c r="AG21" s="37">
        <v>18</v>
      </c>
      <c r="AH21" s="32">
        <v>0</v>
      </c>
      <c r="AI21" s="32">
        <f>MEDIAN(3,3,2,2,3,2,2,2,1,2,3,3)</f>
        <v>2</v>
      </c>
      <c r="AJ21" s="32">
        <v>2</v>
      </c>
      <c r="AK21" s="32">
        <v>1</v>
      </c>
      <c r="AL21" s="32">
        <v>1</v>
      </c>
      <c r="AM21" s="33">
        <f t="shared" si="4"/>
        <v>6</v>
      </c>
      <c r="AO21" s="37">
        <v>18</v>
      </c>
      <c r="AP21" s="32">
        <v>1</v>
      </c>
      <c r="AQ21" s="32">
        <f>MEDIAN(1,1,1,1,1,0,1,2,2,1,1,2,2)</f>
        <v>1</v>
      </c>
      <c r="AR21" s="32">
        <v>2</v>
      </c>
      <c r="AS21" s="32">
        <v>0</v>
      </c>
      <c r="AT21" s="32">
        <v>1</v>
      </c>
      <c r="AU21" s="33">
        <f t="shared" si="5"/>
        <v>5</v>
      </c>
      <c r="AW21" s="42">
        <v>18</v>
      </c>
      <c r="AX21" s="43"/>
      <c r="AY21" s="43"/>
      <c r="AZ21" s="43"/>
      <c r="BA21" s="43"/>
      <c r="BB21" s="43"/>
      <c r="BC21" s="44"/>
      <c r="BE21" s="34">
        <v>18</v>
      </c>
      <c r="BF21" s="32">
        <v>0</v>
      </c>
      <c r="BG21" s="32">
        <f>MEDIAN(1,3,2,2,1,2,0,2,3,2,2,2,2,1,1,2)</f>
        <v>2</v>
      </c>
      <c r="BH21" s="32">
        <v>3</v>
      </c>
      <c r="BI21" s="32">
        <v>0</v>
      </c>
      <c r="BJ21" s="32">
        <v>1</v>
      </c>
      <c r="BK21" s="33">
        <f t="shared" si="7"/>
        <v>6</v>
      </c>
      <c r="BM21" s="37">
        <v>18</v>
      </c>
      <c r="BN21" s="32">
        <v>0</v>
      </c>
      <c r="BO21" s="32">
        <f>MEDIAN(1,1,1,2,1,1,2,2,1,1,1,2,2,1,1,2,2,0,0,1,2,1,1,1,1,2,2)</f>
        <v>1</v>
      </c>
      <c r="BP21" s="32">
        <v>3</v>
      </c>
      <c r="BQ21" s="32">
        <v>0</v>
      </c>
      <c r="BR21" s="32">
        <v>1</v>
      </c>
      <c r="BS21" s="33">
        <f t="shared" si="8"/>
        <v>5</v>
      </c>
    </row>
    <row r="22" spans="1:71" x14ac:dyDescent="0.35">
      <c r="A22" s="42">
        <v>19</v>
      </c>
      <c r="B22" s="43"/>
      <c r="C22" s="43"/>
      <c r="D22" s="43"/>
      <c r="E22" s="43"/>
      <c r="F22" s="43"/>
      <c r="G22" s="44"/>
      <c r="I22" s="37">
        <v>19</v>
      </c>
      <c r="J22" s="32">
        <v>0</v>
      </c>
      <c r="K22" s="32">
        <f>MEDIAN(2,2,1,2,2,2,1,1,2,3,1,1,2,2,2,2,2,2,1)</f>
        <v>2</v>
      </c>
      <c r="L22" s="32">
        <v>2</v>
      </c>
      <c r="M22" s="32">
        <v>0</v>
      </c>
      <c r="N22" s="32">
        <v>0</v>
      </c>
      <c r="O22" s="33">
        <f t="shared" si="1"/>
        <v>4</v>
      </c>
      <c r="P22" s="75"/>
      <c r="Q22" s="34">
        <v>19</v>
      </c>
      <c r="R22" s="32">
        <v>0</v>
      </c>
      <c r="S22" s="32">
        <f>MEDIAN(1,1,1,1,2,1,3,1,2,1,2,2,1,0)</f>
        <v>1</v>
      </c>
      <c r="T22" s="32">
        <v>3</v>
      </c>
      <c r="U22" s="32">
        <v>1</v>
      </c>
      <c r="V22" s="32">
        <v>0</v>
      </c>
      <c r="W22" s="33">
        <f t="shared" si="2"/>
        <v>5</v>
      </c>
      <c r="X22" s="75"/>
      <c r="Y22" s="42">
        <v>19</v>
      </c>
      <c r="Z22" s="43"/>
      <c r="AA22" s="43"/>
      <c r="AB22" s="43"/>
      <c r="AC22" s="43"/>
      <c r="AD22" s="43"/>
      <c r="AE22" s="44"/>
      <c r="AG22" s="37">
        <v>19</v>
      </c>
      <c r="AH22" s="32">
        <v>0</v>
      </c>
      <c r="AI22" s="32">
        <f>MEDIAN(2,2,1,2,2,3,2,2,2,2,3,3,1,2,2,3,2,2,1,2,2,2,2,1,3)</f>
        <v>2</v>
      </c>
      <c r="AJ22" s="32">
        <v>2</v>
      </c>
      <c r="AK22" s="32">
        <v>0</v>
      </c>
      <c r="AL22" s="32">
        <v>1</v>
      </c>
      <c r="AM22" s="33">
        <f t="shared" si="4"/>
        <v>5</v>
      </c>
      <c r="AO22" s="34">
        <v>19</v>
      </c>
      <c r="AP22" s="32">
        <v>2</v>
      </c>
      <c r="AQ22" s="32">
        <f>MEDIAN(1,1,1,2,2,1,1,1,2,2)</f>
        <v>1</v>
      </c>
      <c r="AR22" s="32">
        <v>3</v>
      </c>
      <c r="AS22" s="32">
        <v>1</v>
      </c>
      <c r="AT22" s="32">
        <v>2</v>
      </c>
      <c r="AU22" s="33">
        <f t="shared" si="5"/>
        <v>9</v>
      </c>
      <c r="AW22" s="42">
        <v>19</v>
      </c>
      <c r="AX22" s="43"/>
      <c r="AY22" s="43"/>
      <c r="AZ22" s="43"/>
      <c r="BA22" s="43"/>
      <c r="BB22" s="43"/>
      <c r="BC22" s="44"/>
      <c r="BE22" s="34">
        <v>19</v>
      </c>
      <c r="BF22" s="32">
        <v>1</v>
      </c>
      <c r="BG22" s="32">
        <f>MEDIAN(2,3,3,2,2,3,2,2,2,2,2,3,2,2,3,1,2,2,2,2,2,2,3,2,2,2,2,3,2,1,2)</f>
        <v>2</v>
      </c>
      <c r="BH22" s="32">
        <v>2</v>
      </c>
      <c r="BI22" s="32">
        <v>0</v>
      </c>
      <c r="BJ22" s="32">
        <v>1</v>
      </c>
      <c r="BK22" s="33">
        <f t="shared" si="7"/>
        <v>6</v>
      </c>
      <c r="BM22" s="34">
        <v>19</v>
      </c>
      <c r="BN22" s="32">
        <v>1</v>
      </c>
      <c r="BO22" s="32">
        <f>MEDIAN(1,1,1,1,2,2,2,1,1,1,1,2,2)</f>
        <v>1</v>
      </c>
      <c r="BP22" s="32">
        <v>2</v>
      </c>
      <c r="BQ22" s="32">
        <v>1</v>
      </c>
      <c r="BR22" s="32">
        <v>1</v>
      </c>
      <c r="BS22" s="33">
        <f t="shared" si="8"/>
        <v>6</v>
      </c>
    </row>
    <row r="23" spans="1:71" x14ac:dyDescent="0.35">
      <c r="A23" s="42">
        <v>20</v>
      </c>
      <c r="B23" s="43"/>
      <c r="C23" s="43"/>
      <c r="D23" s="43"/>
      <c r="E23" s="43"/>
      <c r="F23" s="43"/>
      <c r="G23" s="44"/>
      <c r="I23" s="34">
        <v>20</v>
      </c>
      <c r="J23" s="32">
        <v>0</v>
      </c>
      <c r="K23" s="32">
        <f>MEDIAN(1,1,1,2,2,2,2,2,2,3,2,1,2,2,2,1,2,2,3,2,2,2,2,2,1,2,2,2)</f>
        <v>2</v>
      </c>
      <c r="L23" s="32">
        <v>2</v>
      </c>
      <c r="M23" s="32">
        <v>0</v>
      </c>
      <c r="N23" s="32">
        <v>0</v>
      </c>
      <c r="O23" s="33">
        <f t="shared" si="1"/>
        <v>4</v>
      </c>
      <c r="P23" s="75"/>
      <c r="Q23" s="34">
        <v>20</v>
      </c>
      <c r="R23" s="32">
        <v>0</v>
      </c>
      <c r="S23" s="32">
        <f>MEDIAN(1,1,2,1,2,1,2,0,0,1,2,0,2,2,1,1,2,2,1,1,0,0,2)</f>
        <v>1</v>
      </c>
      <c r="T23" s="32">
        <v>3</v>
      </c>
      <c r="U23" s="32">
        <v>1</v>
      </c>
      <c r="V23" s="32">
        <v>1</v>
      </c>
      <c r="W23" s="33">
        <f t="shared" si="2"/>
        <v>6</v>
      </c>
      <c r="X23" s="75"/>
      <c r="Y23" s="42">
        <v>20</v>
      </c>
      <c r="Z23" s="43"/>
      <c r="AA23" s="43"/>
      <c r="AB23" s="43"/>
      <c r="AC23" s="43"/>
      <c r="AD23" s="43"/>
      <c r="AE23" s="44"/>
      <c r="AG23" s="34">
        <v>20</v>
      </c>
      <c r="AH23" s="32">
        <v>0</v>
      </c>
      <c r="AI23" s="32">
        <f>MEDIAN(0,2,2,1,1,1,2,2,2,2,3,2,1,1,2,2,1,1,1,1,2,0,2,2,1,2,2,1)</f>
        <v>2</v>
      </c>
      <c r="AJ23" s="32">
        <v>1</v>
      </c>
      <c r="AK23" s="32">
        <v>0</v>
      </c>
      <c r="AL23" s="32">
        <v>1</v>
      </c>
      <c r="AM23" s="33">
        <f t="shared" si="4"/>
        <v>4</v>
      </c>
      <c r="AO23" s="34">
        <v>20</v>
      </c>
      <c r="AP23" s="32">
        <v>0</v>
      </c>
      <c r="AQ23" s="32">
        <f>MEDIAN(11,0,1,1,1,2,2,1,0,1,1,2)</f>
        <v>1</v>
      </c>
      <c r="AR23" s="32">
        <v>3</v>
      </c>
      <c r="AS23" s="32">
        <v>1</v>
      </c>
      <c r="AT23" s="32">
        <v>1</v>
      </c>
      <c r="AU23" s="33">
        <f t="shared" si="5"/>
        <v>6</v>
      </c>
      <c r="AW23" s="42">
        <v>20</v>
      </c>
      <c r="AX23" s="43"/>
      <c r="AY23" s="43"/>
      <c r="AZ23" s="43"/>
      <c r="BA23" s="43"/>
      <c r="BB23" s="43"/>
      <c r="BC23" s="44"/>
      <c r="BE23" s="39">
        <v>20</v>
      </c>
      <c r="BF23" s="32">
        <v>1</v>
      </c>
      <c r="BG23" s="32">
        <f>MEDIAN(3,2,3,3,3,3,3,3,2,2,3,3,1,2,3)</f>
        <v>3</v>
      </c>
      <c r="BH23" s="32">
        <v>1</v>
      </c>
      <c r="BI23" s="32">
        <v>0</v>
      </c>
      <c r="BJ23" s="32">
        <v>1</v>
      </c>
      <c r="BK23" s="33">
        <f t="shared" si="7"/>
        <v>6</v>
      </c>
      <c r="BM23" s="37">
        <v>20</v>
      </c>
      <c r="BN23" s="32">
        <v>1</v>
      </c>
      <c r="BO23" s="32">
        <f>MEDIAN(1,1,2,1,1,2,1,2,2,2,1,2,3,0,1,2,1,0,2,2,2,2,2,2,2,2,1,2,2,2,2)</f>
        <v>2</v>
      </c>
      <c r="BP23" s="32">
        <v>3</v>
      </c>
      <c r="BQ23" s="32">
        <v>0</v>
      </c>
      <c r="BR23" s="32">
        <v>1</v>
      </c>
      <c r="BS23" s="33">
        <f t="shared" si="8"/>
        <v>7</v>
      </c>
    </row>
    <row r="24" spans="1:71" x14ac:dyDescent="0.35">
      <c r="A24" s="42">
        <v>21</v>
      </c>
      <c r="B24" s="43"/>
      <c r="C24" s="43"/>
      <c r="D24" s="43"/>
      <c r="E24" s="43"/>
      <c r="F24" s="43"/>
      <c r="G24" s="44"/>
      <c r="I24" s="37">
        <v>21</v>
      </c>
      <c r="J24" s="32">
        <v>0</v>
      </c>
      <c r="K24" s="32">
        <f>MEDIAN(1,1,2,2,0,2,2,1,2,2,2,2,1,1,2,2,2,3,1,1,1,2,2)</f>
        <v>2</v>
      </c>
      <c r="L24" s="32">
        <v>2</v>
      </c>
      <c r="M24" s="32">
        <v>0</v>
      </c>
      <c r="N24" s="32">
        <v>1</v>
      </c>
      <c r="O24" s="33">
        <f t="shared" si="1"/>
        <v>5</v>
      </c>
      <c r="P24" s="75"/>
      <c r="Q24" s="34">
        <v>21</v>
      </c>
      <c r="R24" s="32">
        <v>0</v>
      </c>
      <c r="S24" s="32">
        <f>MEDIAN(1,1,2,2,2,1,1,0,0,1,1,2,1,1,1,1,1,2,0,1,1,2,2,1,1,1,2,0,1,2,2)</f>
        <v>1</v>
      </c>
      <c r="T24" s="32">
        <v>2</v>
      </c>
      <c r="U24" s="32">
        <v>1</v>
      </c>
      <c r="V24" s="32">
        <v>1</v>
      </c>
      <c r="W24" s="33">
        <f t="shared" si="2"/>
        <v>5</v>
      </c>
      <c r="X24" s="75"/>
      <c r="Y24" s="42">
        <v>21</v>
      </c>
      <c r="Z24" s="43"/>
      <c r="AA24" s="43"/>
      <c r="AB24" s="43"/>
      <c r="AC24" s="43"/>
      <c r="AD24" s="43"/>
      <c r="AE24" s="44"/>
      <c r="AG24" s="37">
        <v>21</v>
      </c>
      <c r="AH24" s="32">
        <v>1</v>
      </c>
      <c r="AI24" s="32">
        <f>MEDIAN(2,2,2,3,3,2,2,2,1,2,2,3,3,2,1,2)</f>
        <v>2</v>
      </c>
      <c r="AJ24" s="32">
        <v>3</v>
      </c>
      <c r="AK24" s="32">
        <v>0</v>
      </c>
      <c r="AL24" s="32">
        <v>1</v>
      </c>
      <c r="AM24" s="33">
        <f t="shared" si="4"/>
        <v>7</v>
      </c>
      <c r="AO24" s="37">
        <v>21</v>
      </c>
      <c r="AP24" s="32">
        <v>1</v>
      </c>
      <c r="AQ24" s="32">
        <f>MEDIAN(1,1,2,2,1,1,2,2,1,1)</f>
        <v>1</v>
      </c>
      <c r="AR24" s="32">
        <v>2</v>
      </c>
      <c r="AS24" s="32">
        <v>1</v>
      </c>
      <c r="AT24" s="32">
        <v>0</v>
      </c>
      <c r="AU24" s="33">
        <f t="shared" si="5"/>
        <v>5</v>
      </c>
      <c r="AW24" s="42">
        <v>21</v>
      </c>
      <c r="AX24" s="43"/>
      <c r="AY24" s="43"/>
      <c r="AZ24" s="43"/>
      <c r="BA24" s="43"/>
      <c r="BB24" s="43"/>
      <c r="BC24" s="44"/>
      <c r="BE24" s="37">
        <v>21</v>
      </c>
      <c r="BF24" s="32">
        <v>0</v>
      </c>
      <c r="BG24" s="32">
        <f>MEDIAN(2,1,2,2,1,2,2,1,1,1,1,2,2)</f>
        <v>2</v>
      </c>
      <c r="BH24" s="32">
        <v>3</v>
      </c>
      <c r="BI24" s="32">
        <v>0</v>
      </c>
      <c r="BJ24" s="32">
        <v>1</v>
      </c>
      <c r="BK24" s="33">
        <f t="shared" si="7"/>
        <v>6</v>
      </c>
      <c r="BM24" s="34">
        <v>21</v>
      </c>
      <c r="BN24" s="32">
        <v>0</v>
      </c>
      <c r="BO24" s="32">
        <f>MEDIAN(1,1,1,1,2,1,2,2,2,2,1,2,3,1,3,2,2,1,1,2,1,2,2,2,2,2,1,1,2,1)</f>
        <v>2</v>
      </c>
      <c r="BP24" s="32">
        <v>2</v>
      </c>
      <c r="BQ24" s="32">
        <v>1</v>
      </c>
      <c r="BR24" s="32">
        <v>1</v>
      </c>
      <c r="BS24" s="33">
        <f t="shared" si="8"/>
        <v>6</v>
      </c>
    </row>
    <row r="25" spans="1:71" x14ac:dyDescent="0.35">
      <c r="A25" s="42">
        <v>22</v>
      </c>
      <c r="B25" s="43"/>
      <c r="C25" s="43"/>
      <c r="D25" s="43"/>
      <c r="E25" s="43"/>
      <c r="F25" s="43"/>
      <c r="G25" s="44"/>
      <c r="I25" s="37">
        <v>22</v>
      </c>
      <c r="J25" s="32">
        <v>2</v>
      </c>
      <c r="K25" s="32">
        <f>MEDIAN(2,2,2,2,3,1,1,2,2,1,13,2,2,2,1,3,2)</f>
        <v>2</v>
      </c>
      <c r="L25" s="32">
        <v>2</v>
      </c>
      <c r="M25" s="32">
        <v>1</v>
      </c>
      <c r="N25" s="32">
        <v>1</v>
      </c>
      <c r="O25" s="33">
        <f t="shared" si="1"/>
        <v>8</v>
      </c>
      <c r="P25" s="75"/>
      <c r="Q25" s="34">
        <v>22</v>
      </c>
      <c r="R25" s="32">
        <v>0</v>
      </c>
      <c r="S25" s="32">
        <f>MEDIAN(1,2,1,1,0,0,1,1,1,2,1,2,2,2,1,2,2,1,2,0,2,2,2,2,1,1,2,2,2)</f>
        <v>2</v>
      </c>
      <c r="T25" s="32">
        <v>3</v>
      </c>
      <c r="U25" s="32">
        <v>0</v>
      </c>
      <c r="V25" s="32">
        <v>1</v>
      </c>
      <c r="W25" s="33">
        <f t="shared" si="2"/>
        <v>6</v>
      </c>
      <c r="X25" s="75"/>
      <c r="Y25" s="42">
        <v>22</v>
      </c>
      <c r="Z25" s="43"/>
      <c r="AA25" s="43"/>
      <c r="AB25" s="43"/>
      <c r="AC25" s="43"/>
      <c r="AD25" s="43"/>
      <c r="AE25" s="44"/>
      <c r="AG25" s="34">
        <v>22</v>
      </c>
      <c r="AH25" s="32">
        <v>0</v>
      </c>
      <c r="AI25" s="32">
        <f>MEDIAN(2,2,1,2,2,2,1,2,2,2,2,2,2,1,2,2,1,2,2)</f>
        <v>2</v>
      </c>
      <c r="AJ25" s="32">
        <v>2</v>
      </c>
      <c r="AK25" s="32">
        <v>0</v>
      </c>
      <c r="AL25" s="32">
        <v>1</v>
      </c>
      <c r="AM25" s="33">
        <f t="shared" si="4"/>
        <v>5</v>
      </c>
      <c r="AO25" s="34">
        <v>22</v>
      </c>
      <c r="AP25" s="32">
        <v>0</v>
      </c>
      <c r="AQ25" s="32">
        <f>MEDIAN(0,1,1,2,2,1,0,1,1,1,1,2,2,2,1,1,2,0,0,1,1,2,2,2)</f>
        <v>1</v>
      </c>
      <c r="AR25" s="32">
        <v>2</v>
      </c>
      <c r="AS25" s="32">
        <v>1</v>
      </c>
      <c r="AT25" s="32">
        <v>1</v>
      </c>
      <c r="AU25" s="33">
        <f t="shared" si="5"/>
        <v>5</v>
      </c>
      <c r="AW25" s="42">
        <v>22</v>
      </c>
      <c r="AX25" s="43"/>
      <c r="AY25" s="43"/>
      <c r="AZ25" s="43"/>
      <c r="BA25" s="43"/>
      <c r="BB25" s="43"/>
      <c r="BC25" s="44"/>
      <c r="BE25" s="34">
        <v>22</v>
      </c>
      <c r="BF25" s="32">
        <v>1</v>
      </c>
      <c r="BG25" s="32">
        <f>MEDIAN(2,2,1,2,2,1,1,1,2,2,2,2,1,0,1,2,1,1,2,0,1,1,1,2,2,1)</f>
        <v>1</v>
      </c>
      <c r="BH25" s="32">
        <v>3</v>
      </c>
      <c r="BI25" s="32">
        <v>1</v>
      </c>
      <c r="BJ25" s="32">
        <v>1</v>
      </c>
      <c r="BK25" s="33">
        <f t="shared" si="7"/>
        <v>7</v>
      </c>
      <c r="BM25" s="34">
        <v>22</v>
      </c>
      <c r="BN25" s="32">
        <v>1</v>
      </c>
      <c r="BO25" s="32">
        <f>MEDIAN(1,1,1,2,2,2,2,3,1,2,2,2,0,1,1,2,2,1,1,2,2,1,2)</f>
        <v>2</v>
      </c>
      <c r="BP25" s="32">
        <v>2</v>
      </c>
      <c r="BQ25" s="32">
        <v>1</v>
      </c>
      <c r="BR25" s="32">
        <v>1</v>
      </c>
      <c r="BS25" s="33">
        <f t="shared" si="8"/>
        <v>7</v>
      </c>
    </row>
    <row r="26" spans="1:71" x14ac:dyDescent="0.35">
      <c r="A26" s="42">
        <v>23</v>
      </c>
      <c r="B26" s="43"/>
      <c r="C26" s="43"/>
      <c r="D26" s="43"/>
      <c r="E26" s="43"/>
      <c r="F26" s="43"/>
      <c r="G26" s="44"/>
      <c r="I26" s="34">
        <v>23</v>
      </c>
      <c r="J26" s="32">
        <v>0</v>
      </c>
      <c r="K26" s="32">
        <f>MEDIAN(2,2,1,2,3,3,2,1,2,1,3,1)</f>
        <v>2</v>
      </c>
      <c r="L26" s="32">
        <v>3</v>
      </c>
      <c r="M26" s="32">
        <v>0</v>
      </c>
      <c r="N26" s="32">
        <v>0</v>
      </c>
      <c r="O26" s="33">
        <f t="shared" si="1"/>
        <v>5</v>
      </c>
      <c r="P26" s="75"/>
      <c r="Q26" s="34">
        <v>23</v>
      </c>
      <c r="R26" s="32">
        <v>0</v>
      </c>
      <c r="S26" s="32">
        <f>MEDIAN(1,1,1,1,2,1,2,1,1,1,0,1,1,1,1,2,2,1,1,2,0,0,1,2,1,1,1,1,1,2,2,2)</f>
        <v>1</v>
      </c>
      <c r="T26" s="32">
        <v>3</v>
      </c>
      <c r="U26" s="32">
        <v>1</v>
      </c>
      <c r="V26" s="32">
        <v>0</v>
      </c>
      <c r="W26" s="33">
        <f t="shared" si="2"/>
        <v>5</v>
      </c>
      <c r="X26" s="75"/>
      <c r="Y26" s="42">
        <v>23</v>
      </c>
      <c r="Z26" s="43"/>
      <c r="AA26" s="43"/>
      <c r="AB26" s="43"/>
      <c r="AC26" s="43"/>
      <c r="AD26" s="43"/>
      <c r="AE26" s="44"/>
      <c r="AG26" s="37">
        <v>23</v>
      </c>
      <c r="AH26" s="32">
        <v>0</v>
      </c>
      <c r="AI26" s="32">
        <f>MEDIAN(1,2,0,1,1,1,2)</f>
        <v>1</v>
      </c>
      <c r="AJ26" s="32">
        <v>2</v>
      </c>
      <c r="AK26" s="32">
        <v>0</v>
      </c>
      <c r="AL26" s="32">
        <v>1</v>
      </c>
      <c r="AM26" s="33">
        <f t="shared" si="4"/>
        <v>4</v>
      </c>
      <c r="AO26" s="37">
        <v>23</v>
      </c>
      <c r="AP26" s="32">
        <v>0</v>
      </c>
      <c r="AQ26" s="32">
        <f>MEDIAN(1,1,2,2,1,2,2,2,2,2)</f>
        <v>2</v>
      </c>
      <c r="AR26" s="32">
        <v>3</v>
      </c>
      <c r="AS26" s="32">
        <v>1</v>
      </c>
      <c r="AT26" s="32">
        <v>1</v>
      </c>
      <c r="AU26" s="33">
        <f t="shared" si="5"/>
        <v>7</v>
      </c>
      <c r="AW26" s="42">
        <v>23</v>
      </c>
      <c r="AX26" s="43"/>
      <c r="AY26" s="43"/>
      <c r="AZ26" s="43"/>
      <c r="BA26" s="43"/>
      <c r="BB26" s="43"/>
      <c r="BC26" s="44"/>
      <c r="BE26" s="34">
        <v>23</v>
      </c>
      <c r="BF26" s="32">
        <v>0</v>
      </c>
      <c r="BG26" s="32">
        <f>MEDIAN(0,1,2,0,1,2,1,1,2,1,2,1,1,1,2,2,2,2,0,1,1,2,2,2,2,3,3,2,1,1)</f>
        <v>1.5</v>
      </c>
      <c r="BH26" s="32">
        <v>2</v>
      </c>
      <c r="BI26" s="32">
        <v>0</v>
      </c>
      <c r="BJ26" s="32">
        <v>1</v>
      </c>
      <c r="BK26" s="33">
        <f t="shared" si="7"/>
        <v>4.5</v>
      </c>
      <c r="BM26" s="34">
        <v>23</v>
      </c>
      <c r="BN26" s="32">
        <v>1</v>
      </c>
      <c r="BO26" s="32">
        <f>MEDIAN(1,2,2,1,2,1,2,1,2,1,2,1,1,2,2,2,2,2,3)</f>
        <v>2</v>
      </c>
      <c r="BP26" s="32">
        <v>2</v>
      </c>
      <c r="BQ26" s="32">
        <v>1</v>
      </c>
      <c r="BR26" s="32">
        <v>1</v>
      </c>
      <c r="BS26" s="33">
        <f t="shared" si="8"/>
        <v>7</v>
      </c>
    </row>
    <row r="27" spans="1:71" x14ac:dyDescent="0.35">
      <c r="A27" s="42">
        <v>24</v>
      </c>
      <c r="B27" s="43"/>
      <c r="C27" s="43"/>
      <c r="D27" s="43"/>
      <c r="E27" s="43"/>
      <c r="F27" s="43"/>
      <c r="G27" s="44"/>
      <c r="I27" s="37">
        <v>24</v>
      </c>
      <c r="J27" s="32">
        <v>0</v>
      </c>
      <c r="K27" s="32">
        <f>MEDIAN(0,1,1,2,1,2,2,1,1,0,1,1,2,1,1)</f>
        <v>1</v>
      </c>
      <c r="L27" s="32">
        <v>2</v>
      </c>
      <c r="M27" s="32">
        <v>0</v>
      </c>
      <c r="N27" s="32">
        <v>1</v>
      </c>
      <c r="O27" s="33">
        <f t="shared" si="1"/>
        <v>4</v>
      </c>
      <c r="P27" s="75"/>
      <c r="Q27" s="34">
        <v>24</v>
      </c>
      <c r="R27" s="32">
        <v>0</v>
      </c>
      <c r="S27" s="32">
        <f>MEDIAN(3,2,3,2,2,2,2,3,2,2,2,2,2,1,1,2,2,2,1,2,2,3,2,2)</f>
        <v>2</v>
      </c>
      <c r="T27" s="32">
        <v>3</v>
      </c>
      <c r="U27" s="32">
        <v>1</v>
      </c>
      <c r="V27" s="32">
        <v>1</v>
      </c>
      <c r="W27" s="33">
        <f t="shared" si="2"/>
        <v>7</v>
      </c>
      <c r="X27" s="75"/>
      <c r="Y27" s="42">
        <v>24</v>
      </c>
      <c r="Z27" s="43"/>
      <c r="AA27" s="43"/>
      <c r="AB27" s="43"/>
      <c r="AC27" s="43"/>
      <c r="AD27" s="43"/>
      <c r="AE27" s="44"/>
      <c r="AG27" s="37">
        <v>24</v>
      </c>
      <c r="AH27" s="32">
        <v>0</v>
      </c>
      <c r="AI27" s="32">
        <f>MEDIAN(0,2,2,1,1)</f>
        <v>1</v>
      </c>
      <c r="AJ27" s="32">
        <v>3</v>
      </c>
      <c r="AK27" s="32">
        <v>0</v>
      </c>
      <c r="AL27" s="32">
        <v>1</v>
      </c>
      <c r="AM27" s="33">
        <f t="shared" si="4"/>
        <v>5</v>
      </c>
      <c r="AO27" s="37">
        <v>24</v>
      </c>
      <c r="AP27" s="32">
        <v>0</v>
      </c>
      <c r="AQ27" s="32">
        <f>MEDIAN(2,1,1,1,0,0,0,1,1,0,1,2,1,1,1)</f>
        <v>1</v>
      </c>
      <c r="AR27" s="32">
        <v>1</v>
      </c>
      <c r="AS27" s="32">
        <v>1</v>
      </c>
      <c r="AT27" s="32">
        <v>2</v>
      </c>
      <c r="AU27" s="33">
        <f t="shared" si="5"/>
        <v>5</v>
      </c>
      <c r="AW27" s="42">
        <v>24</v>
      </c>
      <c r="AX27" s="43"/>
      <c r="AY27" s="43"/>
      <c r="AZ27" s="43"/>
      <c r="BA27" s="43"/>
      <c r="BB27" s="43"/>
      <c r="BC27" s="44"/>
      <c r="BE27" s="34">
        <v>24</v>
      </c>
      <c r="BF27" s="32">
        <v>1</v>
      </c>
      <c r="BG27" s="32">
        <f>MEDIAN(1,1,2,1,2,1,1,3,3,1,1,0,2,1,1,2,1,2,2,2,2,2,1,1,1,2,1,2,2)</f>
        <v>1</v>
      </c>
      <c r="BH27" s="32">
        <v>2</v>
      </c>
      <c r="BI27" s="32">
        <v>0</v>
      </c>
      <c r="BJ27" s="32">
        <v>1</v>
      </c>
      <c r="BK27" s="33">
        <f t="shared" si="7"/>
        <v>5</v>
      </c>
      <c r="BM27" s="34">
        <v>24</v>
      </c>
      <c r="BN27" s="32">
        <v>0</v>
      </c>
      <c r="BO27" s="32">
        <f>MEDIAN(2,1,2,1,3,2,1,2,2,2,2,2,2,2,3,2,2,2,2,2,2,1,2,2,2,2,2,2,2,1,2,1,2,2,3,2)</f>
        <v>2</v>
      </c>
      <c r="BP27" s="32">
        <v>2</v>
      </c>
      <c r="BQ27" s="32">
        <v>1</v>
      </c>
      <c r="BR27" s="32">
        <v>1</v>
      </c>
      <c r="BS27" s="33">
        <f t="shared" si="8"/>
        <v>6</v>
      </c>
    </row>
    <row r="28" spans="1:71" ht="15" thickBot="1" x14ac:dyDescent="0.4">
      <c r="A28" s="67">
        <v>25</v>
      </c>
      <c r="B28" s="63"/>
      <c r="C28" s="63"/>
      <c r="D28" s="63"/>
      <c r="E28" s="63"/>
      <c r="F28" s="63"/>
      <c r="G28" s="68"/>
      <c r="I28" s="69">
        <v>25</v>
      </c>
      <c r="J28" s="53">
        <v>0</v>
      </c>
      <c r="K28" s="53">
        <f>MEDIAN(2,3,3,2,1,1,1,2,2,1,2,2,3,2,2,1,1,2,2,1,3,2,2,1,2,2,1,2)</f>
        <v>2</v>
      </c>
      <c r="L28" s="53">
        <v>3</v>
      </c>
      <c r="M28" s="53">
        <v>1</v>
      </c>
      <c r="N28" s="53">
        <v>1</v>
      </c>
      <c r="O28" s="71">
        <f t="shared" si="1"/>
        <v>7</v>
      </c>
      <c r="P28" s="75"/>
      <c r="Q28" s="69">
        <v>25</v>
      </c>
      <c r="R28" s="53">
        <v>1</v>
      </c>
      <c r="S28" s="53">
        <f>MEDIAN(3,3,2,3,2,2,2,1,2,2,2,2,2,2,3,3,1,1,1,2,2,1,1,2,2,3,2,2,2,2,3,2,3,2,2,2,2,2,2,2,1,2)</f>
        <v>2</v>
      </c>
      <c r="T28" s="53">
        <v>3</v>
      </c>
      <c r="U28" s="53">
        <v>1</v>
      </c>
      <c r="V28" s="53">
        <v>1</v>
      </c>
      <c r="W28" s="71">
        <f t="shared" si="2"/>
        <v>8</v>
      </c>
      <c r="X28" s="75"/>
      <c r="Y28" s="67">
        <v>25</v>
      </c>
      <c r="Z28" s="63"/>
      <c r="AA28" s="63"/>
      <c r="AB28" s="63"/>
      <c r="AC28" s="63"/>
      <c r="AD28" s="63"/>
      <c r="AE28" s="68"/>
      <c r="AG28" s="72">
        <v>25</v>
      </c>
      <c r="AH28" s="53">
        <v>0</v>
      </c>
      <c r="AI28" s="53">
        <f>MEDIAN(2,1,2,2,1,0,1,2,2,2,1,2,0,0,1,2)</f>
        <v>1.5</v>
      </c>
      <c r="AJ28" s="53">
        <v>2</v>
      </c>
      <c r="AK28" s="53">
        <v>0</v>
      </c>
      <c r="AL28" s="53">
        <v>0</v>
      </c>
      <c r="AM28" s="71">
        <f t="shared" si="4"/>
        <v>3.5</v>
      </c>
      <c r="AO28" s="69">
        <v>25</v>
      </c>
      <c r="AP28" s="53">
        <v>0</v>
      </c>
      <c r="AQ28" s="53">
        <f>MEDIAN(1,2,2,2,2,2,2,1,2)</f>
        <v>2</v>
      </c>
      <c r="AR28" s="53">
        <v>3</v>
      </c>
      <c r="AS28" s="53">
        <v>1</v>
      </c>
      <c r="AT28" s="53">
        <v>1</v>
      </c>
      <c r="AU28" s="71">
        <f t="shared" si="5"/>
        <v>7</v>
      </c>
      <c r="AW28" s="67">
        <v>25</v>
      </c>
      <c r="AX28" s="63"/>
      <c r="AY28" s="63"/>
      <c r="AZ28" s="63"/>
      <c r="BA28" s="63"/>
      <c r="BB28" s="63"/>
      <c r="BC28" s="68"/>
      <c r="BE28" s="69">
        <v>25</v>
      </c>
      <c r="BF28" s="53">
        <v>1</v>
      </c>
      <c r="BG28" s="53">
        <f>MEDIAN(1,1,1,1,1,1,1,1,2,1,2,2,3,2,2,1,1,2,1,2,1,3,3,1,0,1,1,1,2,2,3,1,2,1,1,2,2,2,1,2,2,1,1,1,2,2,1,2)</f>
        <v>1</v>
      </c>
      <c r="BH28" s="53">
        <v>3</v>
      </c>
      <c r="BI28" s="53">
        <v>0</v>
      </c>
      <c r="BJ28" s="53">
        <v>1</v>
      </c>
      <c r="BK28" s="71">
        <f t="shared" si="7"/>
        <v>6</v>
      </c>
      <c r="BM28" s="69">
        <v>25</v>
      </c>
      <c r="BN28" s="53">
        <v>0</v>
      </c>
      <c r="BO28" s="53">
        <f>MEDIAN(1,2,2,1,2,2,2)</f>
        <v>2</v>
      </c>
      <c r="BP28" s="53">
        <v>2</v>
      </c>
      <c r="BQ28" s="53">
        <v>1</v>
      </c>
      <c r="BR28" s="53">
        <v>1</v>
      </c>
      <c r="BS28" s="71">
        <f t="shared" si="8"/>
        <v>6</v>
      </c>
    </row>
    <row r="29" spans="1:71" x14ac:dyDescent="0.35">
      <c r="B29" s="140">
        <f>AVERAGE(B4:B28)</f>
        <v>0.88888888888888884</v>
      </c>
      <c r="C29" s="140">
        <f>AVERAGE(C4:C28)</f>
        <v>3</v>
      </c>
      <c r="D29" s="140">
        <f>AVERAGE(D4:D28)</f>
        <v>2.4444444444444446</v>
      </c>
      <c r="E29" s="140">
        <f>AVERAGE(E4:E28)</f>
        <v>1.1111111111111112</v>
      </c>
      <c r="F29" s="140">
        <f>AVERAGE(F4:F28)</f>
        <v>0.94444444444444442</v>
      </c>
      <c r="G29" s="140">
        <f>SUM(B29:F29)</f>
        <v>8.3888888888888893</v>
      </c>
      <c r="J29">
        <f>AVERAGE(J4:J28)</f>
        <v>0.2</v>
      </c>
      <c r="K29">
        <f>AVERAGE(K4:K28)</f>
        <v>1.96</v>
      </c>
      <c r="L29">
        <f>AVERAGE(L4:L28)</f>
        <v>2.48</v>
      </c>
      <c r="M29">
        <f>AVERAGE(M4:M28)</f>
        <v>0.44</v>
      </c>
      <c r="N29">
        <f>AVERAGE(N4:N28)</f>
        <v>0.6</v>
      </c>
      <c r="O29">
        <f>SUM(J29:N29)</f>
        <v>5.6800000000000006</v>
      </c>
      <c r="P29" s="14"/>
      <c r="R29">
        <f>AVERAGE(R4:R28)</f>
        <v>0.16</v>
      </c>
      <c r="S29">
        <f>AVERAGE(S4:S28)</f>
        <v>1.28</v>
      </c>
      <c r="T29">
        <f>AVERAGE(T4:T28)</f>
        <v>2.44</v>
      </c>
      <c r="U29">
        <f>AVERAGE(U4:U28)</f>
        <v>0.56000000000000005</v>
      </c>
      <c r="V29">
        <f>AVERAGE(V4:V28)</f>
        <v>0.64</v>
      </c>
      <c r="W29">
        <f>SUM(R29:V29)</f>
        <v>5.0799999999999992</v>
      </c>
      <c r="X29" s="14"/>
      <c r="Z29" s="140">
        <f>AVERAGE(Z4:Z28)</f>
        <v>0.7857142857142857</v>
      </c>
      <c r="AA29" s="140">
        <f>AVERAGE(AA4:AA28)</f>
        <v>2.8571428571428572</v>
      </c>
      <c r="AB29" s="140">
        <f>AVERAGE(AB4:AB28)</f>
        <v>2.2857142857142856</v>
      </c>
      <c r="AC29" s="140">
        <f>AVERAGE(AC4:AC28)</f>
        <v>0.84615384615384615</v>
      </c>
      <c r="AD29" s="140">
        <f>AVERAGE(AD4:AD28)</f>
        <v>0.8571428571428571</v>
      </c>
      <c r="AE29" s="140">
        <f>SUM(Z29:AD29)</f>
        <v>7.6318681318681314</v>
      </c>
      <c r="AH29">
        <f>AVERAGE(AH4:AH28)</f>
        <v>0.24</v>
      </c>
      <c r="AI29">
        <f>AVERAGE(AI4:AI28)</f>
        <v>1.9</v>
      </c>
      <c r="AJ29">
        <f>AVERAGE(AJ4:AJ28)</f>
        <v>2.16</v>
      </c>
      <c r="AK29">
        <f>AVERAGE(AK4:AK28)</f>
        <v>0.28000000000000003</v>
      </c>
      <c r="AL29">
        <f>AVERAGE(AL4:AL28)</f>
        <v>0.84</v>
      </c>
      <c r="AM29">
        <f>SUM(AH29:AL29)</f>
        <v>5.42</v>
      </c>
      <c r="AP29">
        <f>AVERAGE(AP4:AP28)</f>
        <v>0.28000000000000003</v>
      </c>
      <c r="AQ29">
        <f>AVERAGE(AQ4:AQ28)</f>
        <v>1.44</v>
      </c>
      <c r="AR29">
        <f>AVERAGE(AR4:AR28)</f>
        <v>2.2799999999999998</v>
      </c>
      <c r="AS29">
        <f>AVERAGE(AS4:AS28)</f>
        <v>0.8</v>
      </c>
      <c r="AT29">
        <f>AVERAGE(AT4:AT28)</f>
        <v>0.8</v>
      </c>
      <c r="AU29">
        <f>SUM(AP29:AT29)</f>
        <v>5.6</v>
      </c>
      <c r="AX29">
        <f>AVERAGE(AX4:AX28)</f>
        <v>1.1875</v>
      </c>
      <c r="AY29">
        <f>AVERAGE(AY4:AY28)</f>
        <v>2.375</v>
      </c>
      <c r="AZ29">
        <f>AVERAGE(AZ4:AZ28)</f>
        <v>2.4375</v>
      </c>
      <c r="BA29">
        <f>AVERAGE(BA4:BA28)</f>
        <v>1.7857142857142858</v>
      </c>
      <c r="BB29">
        <f>AVERAGE(BB4:BB28)</f>
        <v>1.375</v>
      </c>
      <c r="BC29">
        <f>SUM(AX29:BB29)</f>
        <v>9.1607142857142847</v>
      </c>
      <c r="BF29">
        <f>AVERAGE(BF4:BF28)</f>
        <v>0.52</v>
      </c>
      <c r="BG29">
        <f>AVERAGE(BG4:BG28)</f>
        <v>1.56</v>
      </c>
      <c r="BH29">
        <f>AVERAGE(BH4:BH28)</f>
        <v>2.16</v>
      </c>
      <c r="BI29">
        <f>AVERAGE(BI4:BI28)</f>
        <v>0.4</v>
      </c>
      <c r="BJ29">
        <f>AVERAGE(BJ4:BJ28)</f>
        <v>1.08</v>
      </c>
      <c r="BK29">
        <f>SUM(BF29:BJ29)</f>
        <v>5.7200000000000006</v>
      </c>
      <c r="BN29">
        <f>AVERAGE(BN4:BN28)</f>
        <v>0.56000000000000005</v>
      </c>
      <c r="BO29">
        <f>AVERAGE(BO4:BO28)</f>
        <v>1.4</v>
      </c>
      <c r="BP29">
        <f>AVERAGE(BP4:BP28)</f>
        <v>2.08</v>
      </c>
      <c r="BQ29">
        <f>AVERAGE(BQ4:BQ28)</f>
        <v>0.64</v>
      </c>
      <c r="BR29">
        <f>AVERAGE(BR4:BR28)</f>
        <v>0.96</v>
      </c>
      <c r="BS29">
        <f>AVERAGE(BS4:BS28)</f>
        <v>5.64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topLeftCell="R16" zoomScale="50" zoomScaleNormal="50" workbookViewId="0">
      <selection activeCell="AM47" sqref="AM47"/>
    </sheetView>
  </sheetViews>
  <sheetFormatPr defaultRowHeight="14.5" x14ac:dyDescent="0.35"/>
  <cols>
    <col min="1" max="1" width="33.90625" customWidth="1"/>
    <col min="2" max="2" width="12.453125" customWidth="1"/>
    <col min="3" max="3" width="11.81640625" customWidth="1"/>
    <col min="4" max="4" width="12.81640625" customWidth="1"/>
    <col min="5" max="5" width="10.36328125" customWidth="1"/>
    <col min="6" max="6" width="12" customWidth="1"/>
    <col min="7" max="7" width="11.81640625" customWidth="1"/>
    <col min="8" max="8" width="12.81640625" customWidth="1"/>
    <col min="9" max="9" width="12.453125" customWidth="1"/>
    <col min="10" max="10" width="12" customWidth="1"/>
    <col min="11" max="11" width="16.54296875" customWidth="1"/>
    <col min="15" max="15" width="33.90625" customWidth="1"/>
    <col min="16" max="16" width="12.453125" customWidth="1"/>
    <col min="17" max="17" width="11.81640625" customWidth="1"/>
    <col min="18" max="18" width="10.36328125" customWidth="1"/>
    <col min="19" max="19" width="12" customWidth="1"/>
    <col min="20" max="20" width="11.81640625" customWidth="1"/>
    <col min="21" max="21" width="12.81640625" customWidth="1"/>
    <col min="22" max="22" width="12.453125" customWidth="1"/>
    <col min="23" max="23" width="12" customWidth="1"/>
    <col min="24" max="24" width="16.54296875" customWidth="1"/>
    <col min="26" max="26" width="19.6328125" customWidth="1"/>
    <col min="27" max="27" width="8.7265625" customWidth="1"/>
    <col min="28" max="28" width="33.90625" customWidth="1"/>
    <col min="29" max="29" width="12.453125" customWidth="1"/>
    <col min="30" max="30" width="11.81640625" customWidth="1"/>
    <col min="31" max="31" width="10.36328125" customWidth="1"/>
    <col min="32" max="32" width="12" customWidth="1"/>
    <col min="33" max="33" width="11.81640625" customWidth="1"/>
    <col min="34" max="34" width="12.81640625" customWidth="1"/>
    <col min="35" max="35" width="12.453125" customWidth="1"/>
    <col min="36" max="36" width="12" customWidth="1"/>
    <col min="37" max="37" width="16.54296875" customWidth="1"/>
    <col min="40" max="40" width="20.90625" customWidth="1"/>
  </cols>
  <sheetData>
    <row r="1" spans="1:40" ht="39.5" x14ac:dyDescent="0.35">
      <c r="B1" s="128" t="s">
        <v>72</v>
      </c>
      <c r="C1" s="129" t="s">
        <v>73</v>
      </c>
      <c r="D1" s="129" t="s">
        <v>74</v>
      </c>
      <c r="E1" s="129" t="s">
        <v>75</v>
      </c>
      <c r="F1" s="129" t="s">
        <v>76</v>
      </c>
      <c r="G1" s="130" t="s">
        <v>77</v>
      </c>
      <c r="H1" s="128" t="s">
        <v>78</v>
      </c>
      <c r="I1" s="129" t="s">
        <v>79</v>
      </c>
      <c r="J1" s="129" t="s">
        <v>80</v>
      </c>
      <c r="K1" s="129" t="s">
        <v>81</v>
      </c>
      <c r="L1" s="130" t="s">
        <v>82</v>
      </c>
      <c r="P1" s="128" t="s">
        <v>72</v>
      </c>
      <c r="Q1" s="129" t="s">
        <v>73</v>
      </c>
      <c r="R1" s="129" t="s">
        <v>75</v>
      </c>
      <c r="S1" s="129" t="s">
        <v>76</v>
      </c>
      <c r="T1" s="130" t="s">
        <v>77</v>
      </c>
      <c r="U1" s="128" t="s">
        <v>78</v>
      </c>
      <c r="V1" s="129" t="s">
        <v>79</v>
      </c>
      <c r="W1" s="129" t="s">
        <v>80</v>
      </c>
      <c r="X1" s="129" t="s">
        <v>81</v>
      </c>
      <c r="Y1" s="130" t="s">
        <v>82</v>
      </c>
      <c r="Z1" s="131" t="s">
        <v>83</v>
      </c>
      <c r="AC1" s="128" t="s">
        <v>72</v>
      </c>
      <c r="AD1" s="129" t="s">
        <v>73</v>
      </c>
      <c r="AE1" s="129" t="s">
        <v>75</v>
      </c>
      <c r="AF1" s="129" t="s">
        <v>76</v>
      </c>
      <c r="AG1" s="130" t="s">
        <v>77</v>
      </c>
      <c r="AH1" s="128" t="s">
        <v>78</v>
      </c>
      <c r="AI1" s="129" t="s">
        <v>79</v>
      </c>
      <c r="AJ1" s="129" t="s">
        <v>80</v>
      </c>
      <c r="AK1" s="129" t="s">
        <v>81</v>
      </c>
      <c r="AL1" s="130" t="s">
        <v>82</v>
      </c>
      <c r="AM1" s="131" t="s">
        <v>84</v>
      </c>
      <c r="AN1" s="132" t="s">
        <v>83</v>
      </c>
    </row>
    <row r="2" spans="1:40" x14ac:dyDescent="0.35">
      <c r="A2" s="133" t="s">
        <v>65</v>
      </c>
      <c r="B2" s="134">
        <v>0.36</v>
      </c>
      <c r="C2" s="135">
        <v>2.6666666666666665</v>
      </c>
      <c r="D2" s="135">
        <v>2.8333333333333335</v>
      </c>
      <c r="E2" s="135">
        <v>1</v>
      </c>
      <c r="F2" s="135">
        <v>1</v>
      </c>
      <c r="G2" s="136">
        <v>7.8599999999999994</v>
      </c>
      <c r="H2" s="137">
        <v>0.56000000000000005</v>
      </c>
      <c r="I2" s="138">
        <v>2.2599999999999998</v>
      </c>
      <c r="J2" s="138">
        <v>2.16</v>
      </c>
      <c r="K2" s="138">
        <v>1.1599999999999999</v>
      </c>
      <c r="L2" s="139">
        <v>6.14</v>
      </c>
      <c r="O2" s="133" t="s">
        <v>65</v>
      </c>
      <c r="P2" s="134">
        <v>0.36</v>
      </c>
      <c r="Q2" s="135">
        <v>2.6666666666666665</v>
      </c>
      <c r="R2" s="135">
        <v>1</v>
      </c>
      <c r="S2" s="135">
        <v>1</v>
      </c>
      <c r="T2" s="136">
        <v>7.8599999999999994</v>
      </c>
      <c r="U2" s="137">
        <v>0.56000000000000005</v>
      </c>
      <c r="V2" s="138">
        <v>2.2599999999999998</v>
      </c>
      <c r="W2" s="138">
        <v>2.16</v>
      </c>
      <c r="X2" s="138">
        <v>1.1599999999999999</v>
      </c>
      <c r="Y2" s="139">
        <v>6.14</v>
      </c>
      <c r="Z2" s="140">
        <f>SUM(P2:S2)</f>
        <v>5.0266666666666664</v>
      </c>
      <c r="AB2" s="133" t="s">
        <v>65</v>
      </c>
      <c r="AC2" s="134">
        <v>0.36</v>
      </c>
      <c r="AD2" s="135">
        <v>2.6666666666666665</v>
      </c>
      <c r="AE2" s="135">
        <v>1</v>
      </c>
      <c r="AF2" s="135">
        <v>1</v>
      </c>
      <c r="AG2" s="136">
        <v>7.8599999999999994</v>
      </c>
      <c r="AH2" s="137">
        <v>0.56000000000000005</v>
      </c>
      <c r="AI2" s="138">
        <v>2.2599999999999998</v>
      </c>
      <c r="AJ2" s="138">
        <v>2.16</v>
      </c>
      <c r="AK2" s="138">
        <v>1.1599999999999999</v>
      </c>
      <c r="AL2" s="139">
        <v>6.14</v>
      </c>
      <c r="AN2" s="141">
        <f>SUM(AC2:AF2)</f>
        <v>5.0266666666666664</v>
      </c>
    </row>
    <row r="3" spans="1:40" x14ac:dyDescent="0.35">
      <c r="A3" s="133" t="s">
        <v>66</v>
      </c>
      <c r="B3" s="134">
        <v>0.6</v>
      </c>
      <c r="C3" s="135">
        <v>2.6</v>
      </c>
      <c r="D3" s="135">
        <v>2.36</v>
      </c>
      <c r="E3" s="135">
        <v>1.92</v>
      </c>
      <c r="F3" s="135">
        <v>0.76</v>
      </c>
      <c r="G3" s="136">
        <v>8.24</v>
      </c>
      <c r="H3" s="137">
        <v>1.1200000000000001</v>
      </c>
      <c r="I3" s="138">
        <v>2.46</v>
      </c>
      <c r="J3" s="138">
        <v>1.36</v>
      </c>
      <c r="K3" s="138">
        <v>0.88</v>
      </c>
      <c r="L3" s="139">
        <v>5.82</v>
      </c>
      <c r="O3" s="133" t="s">
        <v>66</v>
      </c>
      <c r="P3" s="134">
        <v>0.6</v>
      </c>
      <c r="Q3" s="135">
        <v>2.6</v>
      </c>
      <c r="R3" s="135">
        <v>1.92</v>
      </c>
      <c r="S3" s="135">
        <v>0.76</v>
      </c>
      <c r="T3" s="136">
        <v>8.24</v>
      </c>
      <c r="U3" s="137">
        <v>1.1200000000000001</v>
      </c>
      <c r="V3" s="138">
        <v>2.46</v>
      </c>
      <c r="W3" s="138">
        <v>1.36</v>
      </c>
      <c r="X3" s="138">
        <v>0.88</v>
      </c>
      <c r="Y3" s="139">
        <v>5.82</v>
      </c>
      <c r="Z3" s="140">
        <f t="shared" ref="Z3:Z42" si="0">SUM(P3:S3)</f>
        <v>5.88</v>
      </c>
      <c r="AB3" s="142" t="s">
        <v>59</v>
      </c>
      <c r="AC3" s="134">
        <v>0.69230769230769229</v>
      </c>
      <c r="AD3" s="135">
        <v>2.3846153846153846</v>
      </c>
      <c r="AE3" s="135">
        <v>1.2307692307692308</v>
      </c>
      <c r="AF3" s="135">
        <v>0.92307692307692313</v>
      </c>
      <c r="AG3" s="136">
        <v>7.3846153846153841</v>
      </c>
      <c r="AH3" s="137">
        <v>0.24</v>
      </c>
      <c r="AI3" s="138">
        <v>2.6666666666666665</v>
      </c>
      <c r="AJ3" s="138">
        <v>0.8</v>
      </c>
      <c r="AK3" s="138">
        <v>0.64</v>
      </c>
      <c r="AL3" s="139">
        <v>4.24</v>
      </c>
      <c r="AN3" s="141">
        <f t="shared" ref="AN3:AN45" si="1">SUM(AC3:AF3)</f>
        <v>5.2307692307692308</v>
      </c>
    </row>
    <row r="4" spans="1:40" x14ac:dyDescent="0.35">
      <c r="A4" s="133" t="s">
        <v>67</v>
      </c>
      <c r="B4" s="134">
        <v>0.75</v>
      </c>
      <c r="C4" s="135">
        <v>2.8541666666666665</v>
      </c>
      <c r="D4" s="135">
        <v>2.2083333333333335</v>
      </c>
      <c r="E4" s="135">
        <v>1</v>
      </c>
      <c r="F4" s="135">
        <v>1</v>
      </c>
      <c r="G4" s="136">
        <v>7.8125</v>
      </c>
      <c r="H4" s="137">
        <v>1.08</v>
      </c>
      <c r="I4" s="138">
        <v>2.94</v>
      </c>
      <c r="J4" s="138">
        <v>1.72</v>
      </c>
      <c r="K4" s="138">
        <v>0.92</v>
      </c>
      <c r="L4" s="139">
        <v>6.66</v>
      </c>
      <c r="O4" s="133" t="s">
        <v>67</v>
      </c>
      <c r="P4" s="134">
        <v>0.75</v>
      </c>
      <c r="Q4" s="135">
        <v>2.8541666666666665</v>
      </c>
      <c r="R4" s="135">
        <v>1</v>
      </c>
      <c r="S4" s="135">
        <v>1</v>
      </c>
      <c r="T4" s="136">
        <v>7.8125</v>
      </c>
      <c r="U4" s="137">
        <v>1.08</v>
      </c>
      <c r="V4" s="138">
        <v>2.94</v>
      </c>
      <c r="W4" s="138">
        <v>1.72</v>
      </c>
      <c r="X4" s="138">
        <v>0.92</v>
      </c>
      <c r="Y4" s="139">
        <v>6.66</v>
      </c>
      <c r="Z4" s="140">
        <f t="shared" si="0"/>
        <v>5.6041666666666661</v>
      </c>
      <c r="AB4" s="142" t="s">
        <v>11</v>
      </c>
      <c r="AC4" s="134">
        <v>0.25</v>
      </c>
      <c r="AD4" s="135">
        <v>2.875</v>
      </c>
      <c r="AE4" s="135">
        <v>1.25</v>
      </c>
      <c r="AF4" s="135">
        <v>0.91666666666666663</v>
      </c>
      <c r="AG4" s="136">
        <v>7.458333333333333</v>
      </c>
      <c r="AH4" s="143">
        <v>0.24</v>
      </c>
      <c r="AI4" s="144">
        <v>2.4</v>
      </c>
      <c r="AJ4" s="138">
        <v>1.625</v>
      </c>
      <c r="AK4" s="138">
        <v>0.96</v>
      </c>
      <c r="AL4" s="139">
        <v>5.16</v>
      </c>
      <c r="AN4" s="141">
        <f t="shared" si="1"/>
        <v>5.291666666666667</v>
      </c>
    </row>
    <row r="5" spans="1:40" x14ac:dyDescent="0.35">
      <c r="A5" s="145" t="s">
        <v>8</v>
      </c>
      <c r="B5" s="134">
        <v>0.44</v>
      </c>
      <c r="C5" s="135">
        <v>2.52</v>
      </c>
      <c r="D5" s="135">
        <v>2</v>
      </c>
      <c r="E5" s="135">
        <v>0.72</v>
      </c>
      <c r="F5" s="135">
        <v>0.8</v>
      </c>
      <c r="G5" s="136">
        <v>6.4799999999999995</v>
      </c>
      <c r="H5" s="143">
        <v>1</v>
      </c>
      <c r="I5" s="144">
        <v>2.6</v>
      </c>
      <c r="J5" s="138">
        <v>1.76</v>
      </c>
      <c r="K5" s="138">
        <v>1.2</v>
      </c>
      <c r="L5" s="139">
        <v>6.56</v>
      </c>
      <c r="O5" s="145" t="s">
        <v>8</v>
      </c>
      <c r="P5" s="134">
        <v>0.44</v>
      </c>
      <c r="Q5" s="135">
        <v>2.52</v>
      </c>
      <c r="R5" s="135">
        <v>0.72</v>
      </c>
      <c r="S5" s="135">
        <v>0.8</v>
      </c>
      <c r="T5" s="136">
        <v>6.4799999999999995</v>
      </c>
      <c r="U5" s="143">
        <v>1</v>
      </c>
      <c r="V5" s="144">
        <v>2.6</v>
      </c>
      <c r="W5" s="138">
        <v>1.76</v>
      </c>
      <c r="X5" s="138">
        <v>1.2</v>
      </c>
      <c r="Y5" s="139">
        <v>6.56</v>
      </c>
      <c r="Z5" s="140">
        <f t="shared" si="0"/>
        <v>4.4799999999999995</v>
      </c>
      <c r="AB5" s="146" t="s">
        <v>47</v>
      </c>
      <c r="AC5" s="134">
        <v>1.6</v>
      </c>
      <c r="AD5" s="135">
        <v>2.7</v>
      </c>
      <c r="AE5" s="135">
        <v>2.6111111111111112</v>
      </c>
      <c r="AF5" s="135">
        <v>1.7</v>
      </c>
      <c r="AG5" s="136">
        <v>10.861111111111111</v>
      </c>
      <c r="AH5" s="147">
        <v>1.2</v>
      </c>
      <c r="AI5" s="32">
        <v>2.88</v>
      </c>
      <c r="AJ5" s="32">
        <v>2.08</v>
      </c>
      <c r="AK5" s="32">
        <v>1.68</v>
      </c>
      <c r="AL5" s="33">
        <v>7.84</v>
      </c>
      <c r="AN5" s="141">
        <f t="shared" si="1"/>
        <v>8.6111111111111107</v>
      </c>
    </row>
    <row r="6" spans="1:40" x14ac:dyDescent="0.35">
      <c r="A6" s="142" t="s">
        <v>59</v>
      </c>
      <c r="B6" s="134">
        <v>0.69230769230769229</v>
      </c>
      <c r="C6" s="135">
        <v>2.3846153846153846</v>
      </c>
      <c r="D6" s="135">
        <v>2.1538461538461537</v>
      </c>
      <c r="E6" s="135">
        <v>1.2307692307692308</v>
      </c>
      <c r="F6" s="135">
        <v>0.92307692307692313</v>
      </c>
      <c r="G6" s="136">
        <v>7.3846153846153841</v>
      </c>
      <c r="H6" s="137">
        <v>0.24</v>
      </c>
      <c r="I6" s="138">
        <v>2.6666666666666665</v>
      </c>
      <c r="J6" s="138">
        <v>0.8</v>
      </c>
      <c r="K6" s="138">
        <v>0.64</v>
      </c>
      <c r="L6" s="139">
        <v>4.24</v>
      </c>
      <c r="O6" s="142" t="s">
        <v>59</v>
      </c>
      <c r="P6" s="134">
        <v>0.69230769230769229</v>
      </c>
      <c r="Q6" s="135">
        <v>2.3846153846153846</v>
      </c>
      <c r="R6" s="135">
        <v>1.2307692307692308</v>
      </c>
      <c r="S6" s="135">
        <v>0.92307692307692313</v>
      </c>
      <c r="T6" s="136">
        <v>7.3846153846153841</v>
      </c>
      <c r="U6" s="137">
        <v>0.24</v>
      </c>
      <c r="V6" s="138">
        <v>2.6666666666666665</v>
      </c>
      <c r="W6" s="138">
        <v>0.8</v>
      </c>
      <c r="X6" s="138">
        <v>0.64</v>
      </c>
      <c r="Y6" s="139">
        <v>4.24</v>
      </c>
      <c r="Z6" s="140">
        <f t="shared" si="0"/>
        <v>5.2307692307692308</v>
      </c>
      <c r="AB6" s="146" t="s">
        <v>58</v>
      </c>
      <c r="AC6" s="134">
        <v>0.92</v>
      </c>
      <c r="AD6" s="135">
        <v>2.86</v>
      </c>
      <c r="AE6" s="135">
        <v>1.4736842105263157</v>
      </c>
      <c r="AF6" s="135">
        <v>1.48</v>
      </c>
      <c r="AG6" s="136">
        <v>8.973684210526315</v>
      </c>
      <c r="AH6" s="147">
        <v>0.68</v>
      </c>
      <c r="AI6" s="32">
        <v>2.56</v>
      </c>
      <c r="AJ6" s="32">
        <v>1.48</v>
      </c>
      <c r="AK6" s="32">
        <v>0.64</v>
      </c>
      <c r="AL6" s="33">
        <v>5.36</v>
      </c>
      <c r="AN6" s="141">
        <f t="shared" si="1"/>
        <v>6.7336842105263148</v>
      </c>
    </row>
    <row r="7" spans="1:40" x14ac:dyDescent="0.35">
      <c r="A7" s="142" t="s">
        <v>64</v>
      </c>
      <c r="B7" s="134">
        <v>0.24</v>
      </c>
      <c r="C7" s="135">
        <v>3</v>
      </c>
      <c r="D7" s="135">
        <v>2.2000000000000002</v>
      </c>
      <c r="E7" s="135">
        <v>1.24</v>
      </c>
      <c r="F7" s="135">
        <v>0.84</v>
      </c>
      <c r="G7" s="136">
        <v>7.5200000000000005</v>
      </c>
      <c r="H7" s="137">
        <v>1.1599999999999999</v>
      </c>
      <c r="I7" s="138">
        <v>2.62</v>
      </c>
      <c r="J7" s="138">
        <v>1.68</v>
      </c>
      <c r="K7" s="138">
        <v>1</v>
      </c>
      <c r="L7" s="139">
        <v>6.46</v>
      </c>
      <c r="O7" s="142" t="s">
        <v>64</v>
      </c>
      <c r="P7" s="134">
        <v>0.24</v>
      </c>
      <c r="Q7" s="135">
        <v>3</v>
      </c>
      <c r="R7" s="135">
        <v>1.24</v>
      </c>
      <c r="S7" s="135">
        <v>0.84</v>
      </c>
      <c r="T7" s="136">
        <v>7.5200000000000005</v>
      </c>
      <c r="U7" s="137">
        <v>1.1599999999999999</v>
      </c>
      <c r="V7" s="138">
        <v>2.62</v>
      </c>
      <c r="W7" s="138">
        <v>1.68</v>
      </c>
      <c r="X7" s="138">
        <v>1</v>
      </c>
      <c r="Y7" s="139">
        <v>6.46</v>
      </c>
      <c r="Z7" s="140">
        <f t="shared" si="0"/>
        <v>5.32</v>
      </c>
      <c r="AB7" s="146" t="s">
        <v>60</v>
      </c>
      <c r="AC7" s="134">
        <v>2.25</v>
      </c>
      <c r="AD7" s="135">
        <v>2.9285714285714284</v>
      </c>
      <c r="AE7" s="135">
        <v>2.5714285714285716</v>
      </c>
      <c r="AF7" s="135">
        <v>1.9375</v>
      </c>
      <c r="AG7" s="136">
        <v>11.375</v>
      </c>
      <c r="AH7" s="147">
        <v>0.92</v>
      </c>
      <c r="AI7" s="32">
        <v>2.68</v>
      </c>
      <c r="AJ7" s="32">
        <v>1.68</v>
      </c>
      <c r="AK7" s="32">
        <v>1.1200000000000001</v>
      </c>
      <c r="AL7" s="33">
        <v>6.4</v>
      </c>
      <c r="AN7" s="141">
        <f t="shared" si="1"/>
        <v>9.6875</v>
      </c>
    </row>
    <row r="8" spans="1:40" x14ac:dyDescent="0.35">
      <c r="A8" s="142" t="s">
        <v>11</v>
      </c>
      <c r="B8" s="134">
        <v>0.25</v>
      </c>
      <c r="C8" s="135">
        <v>2.875</v>
      </c>
      <c r="D8" s="135">
        <v>2.1666666666666665</v>
      </c>
      <c r="E8" s="135">
        <v>1.25</v>
      </c>
      <c r="F8" s="135">
        <v>0.91666666666666663</v>
      </c>
      <c r="G8" s="136">
        <v>7.458333333333333</v>
      </c>
      <c r="H8" s="143">
        <v>0.24</v>
      </c>
      <c r="I8" s="144">
        <v>2.4</v>
      </c>
      <c r="J8" s="138">
        <v>1.625</v>
      </c>
      <c r="K8" s="138">
        <v>0.96</v>
      </c>
      <c r="L8" s="139">
        <v>5.16</v>
      </c>
      <c r="O8" s="142" t="s">
        <v>11</v>
      </c>
      <c r="P8" s="134">
        <v>0.25</v>
      </c>
      <c r="Q8" s="135">
        <v>2.875</v>
      </c>
      <c r="R8" s="135">
        <v>1.25</v>
      </c>
      <c r="S8" s="135">
        <v>0.91666666666666663</v>
      </c>
      <c r="T8" s="136">
        <v>7.458333333333333</v>
      </c>
      <c r="U8" s="143">
        <v>0.24</v>
      </c>
      <c r="V8" s="144">
        <v>2.4</v>
      </c>
      <c r="W8" s="138">
        <v>1.625</v>
      </c>
      <c r="X8" s="138">
        <v>0.96</v>
      </c>
      <c r="Y8" s="139">
        <v>5.16</v>
      </c>
      <c r="Z8" s="140">
        <f t="shared" si="0"/>
        <v>5.291666666666667</v>
      </c>
      <c r="AB8" s="146" t="s">
        <v>62</v>
      </c>
      <c r="AC8" s="134">
        <v>0.46666666666666667</v>
      </c>
      <c r="AD8" s="135">
        <v>2.3181818181818183</v>
      </c>
      <c r="AE8" s="135">
        <v>0.3</v>
      </c>
      <c r="AF8" s="135">
        <v>2.2000000000000002</v>
      </c>
      <c r="AG8" s="136">
        <v>7.8181818181818183</v>
      </c>
      <c r="AH8" s="147">
        <v>1.04</v>
      </c>
      <c r="AI8" s="32">
        <v>2.72</v>
      </c>
      <c r="AJ8" s="32">
        <v>1.56</v>
      </c>
      <c r="AK8" s="32">
        <v>1.44</v>
      </c>
      <c r="AL8" s="33">
        <v>6.76</v>
      </c>
      <c r="AN8" s="141">
        <f t="shared" si="1"/>
        <v>5.2848484848484851</v>
      </c>
    </row>
    <row r="9" spans="1:40" x14ac:dyDescent="0.35">
      <c r="A9" s="142" t="s">
        <v>12</v>
      </c>
      <c r="B9" s="134">
        <v>0.88</v>
      </c>
      <c r="C9" s="135">
        <v>2.72</v>
      </c>
      <c r="D9" s="135">
        <v>2</v>
      </c>
      <c r="E9" s="135">
        <v>1</v>
      </c>
      <c r="F9" s="135">
        <v>1.08</v>
      </c>
      <c r="G9" s="136">
        <v>7.68</v>
      </c>
      <c r="H9" s="143">
        <v>0.48</v>
      </c>
      <c r="I9" s="144">
        <v>2.86</v>
      </c>
      <c r="J9" s="138">
        <v>1</v>
      </c>
      <c r="K9" s="138">
        <v>0.48</v>
      </c>
      <c r="L9" s="139">
        <v>4.82</v>
      </c>
      <c r="O9" s="142" t="s">
        <v>12</v>
      </c>
      <c r="P9" s="134">
        <v>0.88</v>
      </c>
      <c r="Q9" s="135">
        <v>2.72</v>
      </c>
      <c r="R9" s="135">
        <v>1</v>
      </c>
      <c r="S9" s="135">
        <v>1.08</v>
      </c>
      <c r="T9" s="136">
        <v>7.68</v>
      </c>
      <c r="U9" s="143">
        <v>0.48</v>
      </c>
      <c r="V9" s="144">
        <v>2.86</v>
      </c>
      <c r="W9" s="138">
        <v>1</v>
      </c>
      <c r="X9" s="138">
        <v>0.48</v>
      </c>
      <c r="Y9" s="139">
        <v>4.82</v>
      </c>
      <c r="Z9" s="140">
        <f t="shared" si="0"/>
        <v>5.68</v>
      </c>
      <c r="AB9" s="148" t="s">
        <v>5</v>
      </c>
      <c r="AC9" s="134">
        <v>0.48</v>
      </c>
      <c r="AD9" s="135">
        <v>2.96</v>
      </c>
      <c r="AE9" s="135">
        <v>1.68</v>
      </c>
      <c r="AF9" s="135">
        <v>1.36</v>
      </c>
      <c r="AG9" s="136">
        <v>8.6399999999999988</v>
      </c>
      <c r="AH9" s="149">
        <v>0.84</v>
      </c>
      <c r="AI9" s="150">
        <v>2.12</v>
      </c>
      <c r="AJ9" s="150">
        <v>1.28</v>
      </c>
      <c r="AK9" s="150">
        <v>0.96</v>
      </c>
      <c r="AL9" s="151">
        <v>5.2</v>
      </c>
      <c r="AN9" s="141">
        <f t="shared" si="1"/>
        <v>6.48</v>
      </c>
    </row>
    <row r="10" spans="1:40" x14ac:dyDescent="0.35">
      <c r="A10" s="146" t="s">
        <v>46</v>
      </c>
      <c r="B10" s="134">
        <v>1.0909090909090908</v>
      </c>
      <c r="C10" s="135">
        <v>2.7727272727272729</v>
      </c>
      <c r="D10" s="135">
        <v>2</v>
      </c>
      <c r="E10" s="135">
        <v>2.5555555555555554</v>
      </c>
      <c r="F10" s="135">
        <v>2.3636363636363638</v>
      </c>
      <c r="G10" s="136">
        <v>10.782828282828282</v>
      </c>
      <c r="H10" s="147">
        <v>1.52</v>
      </c>
      <c r="I10" s="32">
        <v>2.68</v>
      </c>
      <c r="J10" s="32">
        <v>2.2000000000000002</v>
      </c>
      <c r="K10" s="32">
        <v>1.1599999999999999</v>
      </c>
      <c r="L10" s="33">
        <v>7.56</v>
      </c>
      <c r="O10" s="146" t="s">
        <v>46</v>
      </c>
      <c r="P10" s="134">
        <v>1.0909090909090908</v>
      </c>
      <c r="Q10" s="135">
        <v>2.7727272727272729</v>
      </c>
      <c r="R10" s="135">
        <v>2.5555555555555554</v>
      </c>
      <c r="S10" s="135">
        <v>2.3636363636363638</v>
      </c>
      <c r="T10" s="136">
        <v>10.782828282828282</v>
      </c>
      <c r="U10" s="147">
        <v>1.52</v>
      </c>
      <c r="V10" s="32">
        <v>2.68</v>
      </c>
      <c r="W10" s="32">
        <v>2.2000000000000002</v>
      </c>
      <c r="X10" s="32">
        <v>1.1599999999999999</v>
      </c>
      <c r="Y10" s="33">
        <v>7.56</v>
      </c>
      <c r="Z10" s="140">
        <f t="shared" si="0"/>
        <v>8.782828282828282</v>
      </c>
      <c r="AB10" s="148" t="s">
        <v>16</v>
      </c>
      <c r="AC10" s="134">
        <v>0.16</v>
      </c>
      <c r="AD10" s="135">
        <v>2.84</v>
      </c>
      <c r="AE10" s="135">
        <v>0.56000000000000005</v>
      </c>
      <c r="AF10" s="135">
        <v>0.84</v>
      </c>
      <c r="AG10" s="136">
        <v>6.76</v>
      </c>
      <c r="AH10" s="152">
        <v>0.2</v>
      </c>
      <c r="AI10" s="36">
        <v>2.96</v>
      </c>
      <c r="AJ10" s="36">
        <v>0.92</v>
      </c>
      <c r="AK10" s="36">
        <v>0.84</v>
      </c>
      <c r="AL10" s="153">
        <v>4.92</v>
      </c>
      <c r="AN10" s="141">
        <f t="shared" si="1"/>
        <v>4.4000000000000004</v>
      </c>
    </row>
    <row r="11" spans="1:40" x14ac:dyDescent="0.35">
      <c r="A11" s="146" t="s">
        <v>47</v>
      </c>
      <c r="B11" s="134">
        <v>1.6</v>
      </c>
      <c r="C11" s="135">
        <v>2.7</v>
      </c>
      <c r="D11" s="135">
        <v>2.25</v>
      </c>
      <c r="E11" s="135">
        <v>2.6111111111111112</v>
      </c>
      <c r="F11" s="135">
        <v>1.7</v>
      </c>
      <c r="G11" s="136">
        <v>10.861111111111111</v>
      </c>
      <c r="H11" s="147">
        <v>1.2</v>
      </c>
      <c r="I11" s="32">
        <v>2.88</v>
      </c>
      <c r="J11" s="32">
        <v>2.08</v>
      </c>
      <c r="K11" s="32">
        <v>1.68</v>
      </c>
      <c r="L11" s="33">
        <v>7.84</v>
      </c>
      <c r="O11" s="146" t="s">
        <v>47</v>
      </c>
      <c r="P11" s="134">
        <v>1.6</v>
      </c>
      <c r="Q11" s="135">
        <v>2.7</v>
      </c>
      <c r="R11" s="135">
        <v>2.6111111111111112</v>
      </c>
      <c r="S11" s="135">
        <v>1.7</v>
      </c>
      <c r="T11" s="136">
        <v>10.861111111111111</v>
      </c>
      <c r="U11" s="147">
        <v>1.2</v>
      </c>
      <c r="V11" s="32">
        <v>2.88</v>
      </c>
      <c r="W11" s="32">
        <v>2.08</v>
      </c>
      <c r="X11" s="32">
        <v>1.68</v>
      </c>
      <c r="Y11" s="33">
        <v>7.84</v>
      </c>
      <c r="Z11" s="140">
        <f t="shared" si="0"/>
        <v>8.6111111111111107</v>
      </c>
      <c r="AB11" s="154" t="s">
        <v>23</v>
      </c>
      <c r="AC11" s="134">
        <v>2.2173913043478262</v>
      </c>
      <c r="AD11" s="135">
        <v>3</v>
      </c>
      <c r="AE11" s="135">
        <v>2.5555555555555554</v>
      </c>
      <c r="AF11" s="135">
        <v>2.5416666666666665</v>
      </c>
      <c r="AG11" s="136">
        <v>10.75</v>
      </c>
      <c r="AH11" s="152">
        <v>0.88</v>
      </c>
      <c r="AI11" s="36">
        <v>2.92</v>
      </c>
      <c r="AJ11" s="36">
        <v>1.6</v>
      </c>
      <c r="AK11" s="36">
        <v>1.1200000000000001</v>
      </c>
      <c r="AL11" s="153">
        <v>6.52</v>
      </c>
      <c r="AN11" s="141">
        <f t="shared" si="1"/>
        <v>10.314613526570048</v>
      </c>
    </row>
    <row r="12" spans="1:40" x14ac:dyDescent="0.35">
      <c r="A12" s="146" t="s">
        <v>48</v>
      </c>
      <c r="B12" s="134">
        <v>1.2</v>
      </c>
      <c r="C12" s="135">
        <v>2.56</v>
      </c>
      <c r="D12" s="135">
        <v>2.3199999999999998</v>
      </c>
      <c r="E12" s="135">
        <v>1.6666666666666667</v>
      </c>
      <c r="F12" s="135">
        <v>1.64</v>
      </c>
      <c r="G12" s="136">
        <v>9.3866666666666667</v>
      </c>
      <c r="H12" s="147">
        <v>1.32</v>
      </c>
      <c r="I12" s="32">
        <v>2.77</v>
      </c>
      <c r="J12" s="32">
        <v>2.12</v>
      </c>
      <c r="K12" s="32">
        <v>1.24</v>
      </c>
      <c r="L12" s="33">
        <v>7.34</v>
      </c>
      <c r="O12" s="146" t="s">
        <v>48</v>
      </c>
      <c r="P12" s="134">
        <v>1.2</v>
      </c>
      <c r="Q12" s="135">
        <v>2.56</v>
      </c>
      <c r="R12" s="135">
        <v>1.6666666666666667</v>
      </c>
      <c r="S12" s="135">
        <v>1.64</v>
      </c>
      <c r="T12" s="136">
        <v>9.3866666666666667</v>
      </c>
      <c r="U12" s="147">
        <v>1.32</v>
      </c>
      <c r="V12" s="32">
        <v>2.77</v>
      </c>
      <c r="W12" s="32">
        <v>2.12</v>
      </c>
      <c r="X12" s="32">
        <v>1.24</v>
      </c>
      <c r="Y12" s="33">
        <v>7.34</v>
      </c>
      <c r="Z12" s="140">
        <f t="shared" si="0"/>
        <v>7.0666666666666664</v>
      </c>
      <c r="AN12" s="140"/>
    </row>
    <row r="13" spans="1:40" x14ac:dyDescent="0.35">
      <c r="A13" s="146" t="s">
        <v>55</v>
      </c>
      <c r="B13" s="134">
        <v>1.75</v>
      </c>
      <c r="C13" s="135">
        <v>2.15625</v>
      </c>
      <c r="D13" s="135">
        <v>1.75</v>
      </c>
      <c r="E13" s="135">
        <v>2.75</v>
      </c>
      <c r="F13" s="135">
        <v>1.1875</v>
      </c>
      <c r="G13" s="136">
        <v>9.59375</v>
      </c>
      <c r="H13" s="147">
        <v>1.04</v>
      </c>
      <c r="I13" s="32">
        <v>2.58</v>
      </c>
      <c r="J13" s="32">
        <v>2.84</v>
      </c>
      <c r="K13" s="32">
        <v>1.76</v>
      </c>
      <c r="L13" s="33">
        <v>8.2200000000000006</v>
      </c>
      <c r="O13" s="146" t="s">
        <v>55</v>
      </c>
      <c r="P13" s="134">
        <v>1.75</v>
      </c>
      <c r="Q13" s="135">
        <v>2.15625</v>
      </c>
      <c r="R13" s="135">
        <v>2.75</v>
      </c>
      <c r="S13" s="135">
        <v>1.1875</v>
      </c>
      <c r="T13" s="136">
        <v>9.59375</v>
      </c>
      <c r="U13" s="147">
        <v>1.04</v>
      </c>
      <c r="V13" s="32">
        <v>2.58</v>
      </c>
      <c r="W13" s="32">
        <v>2.84</v>
      </c>
      <c r="X13" s="32">
        <v>1.76</v>
      </c>
      <c r="Y13" s="33">
        <v>8.2200000000000006</v>
      </c>
      <c r="Z13" s="140">
        <f t="shared" si="0"/>
        <v>7.84375</v>
      </c>
      <c r="AB13" s="133" t="s">
        <v>66</v>
      </c>
      <c r="AC13" s="134">
        <v>0.6</v>
      </c>
      <c r="AD13" s="135">
        <v>2.6</v>
      </c>
      <c r="AE13" s="135">
        <v>1.92</v>
      </c>
      <c r="AF13" s="135">
        <v>0.76</v>
      </c>
      <c r="AG13" s="136">
        <v>8.24</v>
      </c>
      <c r="AH13" s="137">
        <v>1.1200000000000001</v>
      </c>
      <c r="AI13" s="138">
        <v>2.46</v>
      </c>
      <c r="AJ13" s="138">
        <v>1.36</v>
      </c>
      <c r="AK13" s="138">
        <v>0.88</v>
      </c>
      <c r="AL13" s="139">
        <v>5.82</v>
      </c>
      <c r="AN13" s="141">
        <f t="shared" si="1"/>
        <v>5.88</v>
      </c>
    </row>
    <row r="14" spans="1:40" x14ac:dyDescent="0.35">
      <c r="A14" s="146" t="s">
        <v>56</v>
      </c>
      <c r="B14" s="134">
        <v>1.36</v>
      </c>
      <c r="C14" s="135">
        <v>2.68</v>
      </c>
      <c r="D14" s="135">
        <v>2.3199999999999998</v>
      </c>
      <c r="E14" s="135">
        <v>1.3</v>
      </c>
      <c r="F14" s="135">
        <v>1.2</v>
      </c>
      <c r="G14" s="136">
        <v>8.86</v>
      </c>
      <c r="H14" s="147">
        <v>1.44</v>
      </c>
      <c r="I14" s="32">
        <v>2.52</v>
      </c>
      <c r="J14" s="32">
        <v>1.36</v>
      </c>
      <c r="K14" s="32">
        <v>0.88</v>
      </c>
      <c r="L14" s="33">
        <v>6.2</v>
      </c>
      <c r="O14" s="146" t="s">
        <v>56</v>
      </c>
      <c r="P14" s="134">
        <v>1.36</v>
      </c>
      <c r="Q14" s="135">
        <v>2.68</v>
      </c>
      <c r="R14" s="135">
        <v>1.3</v>
      </c>
      <c r="S14" s="135">
        <v>1.2</v>
      </c>
      <c r="T14" s="136">
        <v>8.86</v>
      </c>
      <c r="U14" s="147">
        <v>1.44</v>
      </c>
      <c r="V14" s="32">
        <v>2.52</v>
      </c>
      <c r="W14" s="32">
        <v>1.36</v>
      </c>
      <c r="X14" s="32">
        <v>0.88</v>
      </c>
      <c r="Y14" s="33">
        <v>6.2</v>
      </c>
      <c r="Z14" s="140">
        <f t="shared" si="0"/>
        <v>6.54</v>
      </c>
      <c r="AB14" s="133" t="s">
        <v>67</v>
      </c>
      <c r="AC14" s="134">
        <v>0.75</v>
      </c>
      <c r="AD14" s="135">
        <v>2.8541666666666665</v>
      </c>
      <c r="AE14" s="135">
        <v>1</v>
      </c>
      <c r="AF14" s="135">
        <v>1</v>
      </c>
      <c r="AG14" s="136">
        <v>7.8125</v>
      </c>
      <c r="AH14" s="137">
        <v>1.08</v>
      </c>
      <c r="AI14" s="138">
        <v>2.94</v>
      </c>
      <c r="AJ14" s="138">
        <v>1.72</v>
      </c>
      <c r="AK14" s="138">
        <v>0.92</v>
      </c>
      <c r="AL14" s="139">
        <v>6.66</v>
      </c>
      <c r="AN14" s="141">
        <f t="shared" si="1"/>
        <v>5.6041666666666661</v>
      </c>
    </row>
    <row r="15" spans="1:40" x14ac:dyDescent="0.35">
      <c r="A15" s="146" t="s">
        <v>57</v>
      </c>
      <c r="B15" s="134">
        <v>0.875</v>
      </c>
      <c r="C15" s="135">
        <v>2.4130434782608696</v>
      </c>
      <c r="D15" s="135">
        <v>2.5833333333333335</v>
      </c>
      <c r="E15" s="135">
        <v>2.6956521739130435</v>
      </c>
      <c r="F15" s="135">
        <v>1.9583333333333333</v>
      </c>
      <c r="G15" s="136">
        <v>10.52536231884058</v>
      </c>
      <c r="H15" s="147">
        <v>1.36</v>
      </c>
      <c r="I15" s="32">
        <v>2.96</v>
      </c>
      <c r="J15" s="32">
        <v>2.92</v>
      </c>
      <c r="K15" s="32">
        <v>2.4</v>
      </c>
      <c r="L15" s="33">
        <v>9.64</v>
      </c>
      <c r="O15" s="146" t="s">
        <v>57</v>
      </c>
      <c r="P15" s="134">
        <v>0.875</v>
      </c>
      <c r="Q15" s="135">
        <v>2.4130434782608696</v>
      </c>
      <c r="R15" s="135">
        <v>2.6956521739130435</v>
      </c>
      <c r="S15" s="135">
        <v>1.9583333333333333</v>
      </c>
      <c r="T15" s="136">
        <v>10.52536231884058</v>
      </c>
      <c r="U15" s="147">
        <v>1.36</v>
      </c>
      <c r="V15" s="32">
        <v>2.96</v>
      </c>
      <c r="W15" s="32">
        <v>2.92</v>
      </c>
      <c r="X15" s="32">
        <v>2.4</v>
      </c>
      <c r="Y15" s="33">
        <v>9.64</v>
      </c>
      <c r="Z15" s="140">
        <f t="shared" si="0"/>
        <v>7.9420289855072461</v>
      </c>
      <c r="AB15" s="145" t="s">
        <v>8</v>
      </c>
      <c r="AC15" s="134">
        <v>0.44</v>
      </c>
      <c r="AD15" s="135">
        <v>2.52</v>
      </c>
      <c r="AE15" s="135">
        <v>0.72</v>
      </c>
      <c r="AF15" s="135">
        <v>0.8</v>
      </c>
      <c r="AG15" s="136">
        <v>6.4799999999999995</v>
      </c>
      <c r="AH15" s="143">
        <v>1</v>
      </c>
      <c r="AI15" s="144">
        <v>2.6</v>
      </c>
      <c r="AJ15" s="138">
        <v>1.76</v>
      </c>
      <c r="AK15" s="138">
        <v>1.2</v>
      </c>
      <c r="AL15" s="139">
        <v>6.56</v>
      </c>
      <c r="AN15" s="141">
        <f t="shared" si="1"/>
        <v>4.4799999999999995</v>
      </c>
    </row>
    <row r="16" spans="1:40" x14ac:dyDescent="0.35">
      <c r="A16" s="146" t="s">
        <v>58</v>
      </c>
      <c r="B16" s="134">
        <v>0.92</v>
      </c>
      <c r="C16" s="135">
        <v>2.86</v>
      </c>
      <c r="D16" s="135">
        <v>2.2400000000000002</v>
      </c>
      <c r="E16" s="135">
        <v>1.4736842105263157</v>
      </c>
      <c r="F16" s="135">
        <v>1.48</v>
      </c>
      <c r="G16" s="136">
        <v>8.973684210526315</v>
      </c>
      <c r="H16" s="147">
        <v>0.68</v>
      </c>
      <c r="I16" s="32">
        <v>2.56</v>
      </c>
      <c r="J16" s="32">
        <v>1.48</v>
      </c>
      <c r="K16" s="32">
        <v>0.64</v>
      </c>
      <c r="L16" s="33">
        <v>5.36</v>
      </c>
      <c r="O16" s="146" t="s">
        <v>58</v>
      </c>
      <c r="P16" s="134">
        <v>0.92</v>
      </c>
      <c r="Q16" s="135">
        <v>2.86</v>
      </c>
      <c r="R16" s="135">
        <v>1.4736842105263157</v>
      </c>
      <c r="S16" s="135">
        <v>1.48</v>
      </c>
      <c r="T16" s="136">
        <v>8.973684210526315</v>
      </c>
      <c r="U16" s="147">
        <v>0.68</v>
      </c>
      <c r="V16" s="32">
        <v>2.56</v>
      </c>
      <c r="W16" s="32">
        <v>1.48</v>
      </c>
      <c r="X16" s="32">
        <v>0.64</v>
      </c>
      <c r="Y16" s="33">
        <v>5.36</v>
      </c>
      <c r="Z16" s="140">
        <f t="shared" si="0"/>
        <v>6.7336842105263148</v>
      </c>
      <c r="AB16" s="142" t="s">
        <v>64</v>
      </c>
      <c r="AC16" s="134">
        <v>0.24</v>
      </c>
      <c r="AD16" s="135">
        <v>3</v>
      </c>
      <c r="AE16" s="135">
        <v>1.24</v>
      </c>
      <c r="AF16" s="135">
        <v>0.84</v>
      </c>
      <c r="AG16" s="136">
        <v>7.5200000000000005</v>
      </c>
      <c r="AH16" s="137">
        <v>1.1599999999999999</v>
      </c>
      <c r="AI16" s="138">
        <v>2.62</v>
      </c>
      <c r="AJ16" s="138">
        <v>1.68</v>
      </c>
      <c r="AK16" s="138">
        <v>1</v>
      </c>
      <c r="AL16" s="139">
        <v>6.46</v>
      </c>
      <c r="AN16" s="141">
        <f t="shared" si="1"/>
        <v>5.32</v>
      </c>
    </row>
    <row r="17" spans="1:40" x14ac:dyDescent="0.35">
      <c r="A17" s="146" t="s">
        <v>60</v>
      </c>
      <c r="B17" s="134">
        <v>2.25</v>
      </c>
      <c r="C17" s="135">
        <v>2.9285714285714284</v>
      </c>
      <c r="D17" s="135">
        <v>1.6875</v>
      </c>
      <c r="E17" s="135">
        <v>2.5714285714285716</v>
      </c>
      <c r="F17" s="135">
        <v>1.9375</v>
      </c>
      <c r="G17" s="136">
        <v>11.375</v>
      </c>
      <c r="H17" s="147">
        <v>0.92</v>
      </c>
      <c r="I17" s="32">
        <v>2.68</v>
      </c>
      <c r="J17" s="32">
        <v>1.68</v>
      </c>
      <c r="K17" s="32">
        <v>1.1200000000000001</v>
      </c>
      <c r="L17" s="33">
        <v>6.4</v>
      </c>
      <c r="O17" s="146" t="s">
        <v>60</v>
      </c>
      <c r="P17" s="134">
        <v>2.25</v>
      </c>
      <c r="Q17" s="135">
        <v>2.9285714285714284</v>
      </c>
      <c r="R17" s="135">
        <v>2.5714285714285716</v>
      </c>
      <c r="S17" s="135">
        <v>1.9375</v>
      </c>
      <c r="T17" s="136">
        <v>11.375</v>
      </c>
      <c r="U17" s="147">
        <v>0.92</v>
      </c>
      <c r="V17" s="32">
        <v>2.68</v>
      </c>
      <c r="W17" s="32">
        <v>1.68</v>
      </c>
      <c r="X17" s="32">
        <v>1.1200000000000001</v>
      </c>
      <c r="Y17" s="33">
        <v>6.4</v>
      </c>
      <c r="Z17" s="140">
        <f t="shared" si="0"/>
        <v>9.6875</v>
      </c>
      <c r="AB17" s="142" t="s">
        <v>12</v>
      </c>
      <c r="AC17" s="134">
        <v>0.88</v>
      </c>
      <c r="AD17" s="135">
        <v>2.72</v>
      </c>
      <c r="AE17" s="135">
        <v>1</v>
      </c>
      <c r="AF17" s="135">
        <v>1.08</v>
      </c>
      <c r="AG17" s="136">
        <v>7.68</v>
      </c>
      <c r="AH17" s="143">
        <v>0.48</v>
      </c>
      <c r="AI17" s="144">
        <v>2.86</v>
      </c>
      <c r="AJ17" s="138">
        <v>1</v>
      </c>
      <c r="AK17" s="138">
        <v>0.48</v>
      </c>
      <c r="AL17" s="139">
        <v>4.82</v>
      </c>
      <c r="AN17" s="141">
        <f t="shared" si="1"/>
        <v>5.68</v>
      </c>
    </row>
    <row r="18" spans="1:40" x14ac:dyDescent="0.35">
      <c r="A18" s="146" t="s">
        <v>61</v>
      </c>
      <c r="B18" s="134">
        <v>0.36</v>
      </c>
      <c r="C18" s="135">
        <v>2.1</v>
      </c>
      <c r="D18" s="135">
        <v>2.2799999999999998</v>
      </c>
      <c r="E18" s="135">
        <v>2.2799999999999998</v>
      </c>
      <c r="F18" s="135">
        <v>1.36</v>
      </c>
      <c r="G18" s="136">
        <v>8.379999999999999</v>
      </c>
      <c r="H18" s="147">
        <v>0.96</v>
      </c>
      <c r="I18" s="32">
        <v>2.84</v>
      </c>
      <c r="J18" s="32">
        <v>0.92</v>
      </c>
      <c r="K18" s="32">
        <v>0.56000000000000005</v>
      </c>
      <c r="L18" s="33">
        <v>5.28</v>
      </c>
      <c r="O18" s="146" t="s">
        <v>61</v>
      </c>
      <c r="P18" s="134">
        <v>0.36</v>
      </c>
      <c r="Q18" s="135">
        <v>2.1</v>
      </c>
      <c r="R18" s="135">
        <v>2.2799999999999998</v>
      </c>
      <c r="S18" s="135">
        <v>1.36</v>
      </c>
      <c r="T18" s="136">
        <v>8.379999999999999</v>
      </c>
      <c r="U18" s="147">
        <v>0.96</v>
      </c>
      <c r="V18" s="32">
        <v>2.84</v>
      </c>
      <c r="W18" s="32">
        <v>0.92</v>
      </c>
      <c r="X18" s="32">
        <v>0.56000000000000005</v>
      </c>
      <c r="Y18" s="33">
        <v>5.28</v>
      </c>
      <c r="Z18" s="140">
        <f t="shared" si="0"/>
        <v>6.1000000000000005</v>
      </c>
      <c r="AB18" s="146" t="s">
        <v>46</v>
      </c>
      <c r="AC18" s="134">
        <v>1.0909090909090908</v>
      </c>
      <c r="AD18" s="135">
        <v>2.7727272727272729</v>
      </c>
      <c r="AE18" s="135">
        <v>2.5555555555555554</v>
      </c>
      <c r="AF18" s="135">
        <v>2.3636363636363638</v>
      </c>
      <c r="AG18" s="136">
        <v>10.782828282828282</v>
      </c>
      <c r="AH18" s="147">
        <v>1.52</v>
      </c>
      <c r="AI18" s="32">
        <v>2.68</v>
      </c>
      <c r="AJ18" s="32">
        <v>2.2000000000000002</v>
      </c>
      <c r="AK18" s="32">
        <v>1.1599999999999999</v>
      </c>
      <c r="AL18" s="33">
        <v>7.56</v>
      </c>
      <c r="AN18" s="141">
        <f t="shared" si="1"/>
        <v>8.782828282828282</v>
      </c>
    </row>
    <row r="19" spans="1:40" x14ac:dyDescent="0.35">
      <c r="A19" s="146" t="s">
        <v>62</v>
      </c>
      <c r="B19" s="134">
        <v>0.46666666666666667</v>
      </c>
      <c r="C19" s="135">
        <v>2.3181818181818183</v>
      </c>
      <c r="D19" s="135">
        <v>2.5333333333333332</v>
      </c>
      <c r="E19" s="135">
        <v>0.3</v>
      </c>
      <c r="F19" s="135">
        <v>2.2000000000000002</v>
      </c>
      <c r="G19" s="136">
        <v>7.8181818181818183</v>
      </c>
      <c r="H19" s="147">
        <v>1.04</v>
      </c>
      <c r="I19" s="32">
        <v>2.72</v>
      </c>
      <c r="J19" s="32">
        <v>1.56</v>
      </c>
      <c r="K19" s="32">
        <v>1.44</v>
      </c>
      <c r="L19" s="33">
        <v>6.76</v>
      </c>
      <c r="O19" s="146" t="s">
        <v>62</v>
      </c>
      <c r="P19" s="134">
        <v>0.46666666666666667</v>
      </c>
      <c r="Q19" s="135">
        <v>2.3181818181818183</v>
      </c>
      <c r="R19" s="135">
        <v>0.3</v>
      </c>
      <c r="S19" s="135">
        <v>2.2000000000000002</v>
      </c>
      <c r="T19" s="136">
        <v>7.8181818181818183</v>
      </c>
      <c r="U19" s="147">
        <v>1.04</v>
      </c>
      <c r="V19" s="32">
        <v>2.72</v>
      </c>
      <c r="W19" s="32">
        <v>1.56</v>
      </c>
      <c r="X19" s="32">
        <v>1.44</v>
      </c>
      <c r="Y19" s="33">
        <v>6.76</v>
      </c>
      <c r="Z19" s="140">
        <f t="shared" si="0"/>
        <v>5.2848484848484851</v>
      </c>
      <c r="AB19" s="146" t="s">
        <v>48</v>
      </c>
      <c r="AC19" s="134">
        <v>1.2</v>
      </c>
      <c r="AD19" s="135">
        <v>2.56</v>
      </c>
      <c r="AE19" s="135">
        <v>1.6666666666666667</v>
      </c>
      <c r="AF19" s="135">
        <v>1.64</v>
      </c>
      <c r="AG19" s="136">
        <v>9.3866666666666667</v>
      </c>
      <c r="AH19" s="147">
        <v>1.32</v>
      </c>
      <c r="AI19" s="32">
        <v>2.77</v>
      </c>
      <c r="AJ19" s="32">
        <v>2.12</v>
      </c>
      <c r="AK19" s="32">
        <v>1.24</v>
      </c>
      <c r="AL19" s="33">
        <v>7.34</v>
      </c>
      <c r="AN19" s="141">
        <f t="shared" si="1"/>
        <v>7.0666666666666664</v>
      </c>
    </row>
    <row r="20" spans="1:40" x14ac:dyDescent="0.35">
      <c r="A20" s="146" t="s">
        <v>63</v>
      </c>
      <c r="B20" s="134">
        <v>0.32</v>
      </c>
      <c r="C20" s="135">
        <v>2.86</v>
      </c>
      <c r="D20" s="135">
        <v>2.48</v>
      </c>
      <c r="E20" s="135">
        <v>2.2400000000000002</v>
      </c>
      <c r="F20" s="135">
        <v>1.36</v>
      </c>
      <c r="G20" s="136">
        <v>9.26</v>
      </c>
      <c r="H20" s="147">
        <v>0.8</v>
      </c>
      <c r="I20" s="32">
        <v>2.9</v>
      </c>
      <c r="J20" s="32">
        <v>2.56</v>
      </c>
      <c r="K20" s="32">
        <v>1.88</v>
      </c>
      <c r="L20" s="33">
        <v>8.14</v>
      </c>
      <c r="O20" s="146" t="s">
        <v>63</v>
      </c>
      <c r="P20" s="134">
        <v>0.32</v>
      </c>
      <c r="Q20" s="135">
        <v>2.86</v>
      </c>
      <c r="R20" s="135">
        <v>2.2400000000000002</v>
      </c>
      <c r="S20" s="135">
        <v>1.36</v>
      </c>
      <c r="T20" s="136">
        <v>9.26</v>
      </c>
      <c r="U20" s="147">
        <v>0.8</v>
      </c>
      <c r="V20" s="32">
        <v>2.9</v>
      </c>
      <c r="W20" s="32">
        <v>2.56</v>
      </c>
      <c r="X20" s="32">
        <v>1.88</v>
      </c>
      <c r="Y20" s="33">
        <v>8.14</v>
      </c>
      <c r="Z20" s="140">
        <f t="shared" si="0"/>
        <v>6.78</v>
      </c>
      <c r="AB20" s="146" t="s">
        <v>56</v>
      </c>
      <c r="AC20" s="134">
        <v>1.36</v>
      </c>
      <c r="AD20" s="135">
        <v>2.68</v>
      </c>
      <c r="AE20" s="135">
        <v>1.3</v>
      </c>
      <c r="AF20" s="135">
        <v>1.2</v>
      </c>
      <c r="AG20" s="136">
        <v>8.86</v>
      </c>
      <c r="AH20" s="147">
        <v>1.44</v>
      </c>
      <c r="AI20" s="32">
        <v>2.52</v>
      </c>
      <c r="AJ20" s="32">
        <v>1.36</v>
      </c>
      <c r="AK20" s="32">
        <v>0.88</v>
      </c>
      <c r="AL20" s="33">
        <v>6.2</v>
      </c>
      <c r="AN20" s="141">
        <f t="shared" si="1"/>
        <v>6.54</v>
      </c>
    </row>
    <row r="21" spans="1:40" x14ac:dyDescent="0.35">
      <c r="A21" s="148" t="s">
        <v>68</v>
      </c>
      <c r="B21" s="134">
        <v>0.58823529411764708</v>
      </c>
      <c r="C21" s="135">
        <v>2.8823529411764706</v>
      </c>
      <c r="D21" s="135">
        <v>2.4705882352941178</v>
      </c>
      <c r="E21" s="135">
        <v>1.1875</v>
      </c>
      <c r="F21" s="135">
        <v>0.88235294117647056</v>
      </c>
      <c r="G21" s="136">
        <v>8.0110294117647065</v>
      </c>
      <c r="H21" s="155">
        <v>0.68</v>
      </c>
      <c r="I21" s="156">
        <v>2.1666666666666665</v>
      </c>
      <c r="J21" s="157">
        <v>2.08</v>
      </c>
      <c r="K21" s="157">
        <v>1.28</v>
      </c>
      <c r="L21" s="158">
        <v>6.166666666666667</v>
      </c>
      <c r="O21" s="148" t="s">
        <v>68</v>
      </c>
      <c r="P21" s="134">
        <v>0.58823529411764708</v>
      </c>
      <c r="Q21" s="135">
        <v>2.8823529411764706</v>
      </c>
      <c r="R21" s="135">
        <v>1.1875</v>
      </c>
      <c r="S21" s="135">
        <v>0.88235294117647056</v>
      </c>
      <c r="T21" s="136">
        <v>8.0110294117647065</v>
      </c>
      <c r="U21" s="155">
        <v>0.68</v>
      </c>
      <c r="V21" s="156">
        <v>2.1666666666666665</v>
      </c>
      <c r="W21" s="157">
        <v>2.08</v>
      </c>
      <c r="X21" s="157">
        <v>1.28</v>
      </c>
      <c r="Y21" s="158">
        <v>6.166666666666667</v>
      </c>
      <c r="Z21" s="140">
        <f t="shared" si="0"/>
        <v>5.5404411764705888</v>
      </c>
      <c r="AB21" s="146" t="s">
        <v>57</v>
      </c>
      <c r="AC21" s="134">
        <v>0.875</v>
      </c>
      <c r="AD21" s="135">
        <v>2.4130434782608696</v>
      </c>
      <c r="AE21" s="135">
        <v>2.6956521739130435</v>
      </c>
      <c r="AF21" s="135">
        <v>1.9583333333333333</v>
      </c>
      <c r="AG21" s="136">
        <v>10.52536231884058</v>
      </c>
      <c r="AH21" s="147">
        <v>1.36</v>
      </c>
      <c r="AI21" s="32">
        <v>2.96</v>
      </c>
      <c r="AJ21" s="32">
        <v>2.92</v>
      </c>
      <c r="AK21" s="32">
        <v>2.4</v>
      </c>
      <c r="AL21" s="33">
        <v>9.64</v>
      </c>
      <c r="AN21" s="141">
        <f t="shared" si="1"/>
        <v>7.9420289855072461</v>
      </c>
    </row>
    <row r="22" spans="1:40" x14ac:dyDescent="0.35">
      <c r="A22" s="148" t="s">
        <v>1</v>
      </c>
      <c r="B22" s="134">
        <v>0.32</v>
      </c>
      <c r="C22" s="135">
        <v>2.82</v>
      </c>
      <c r="D22" s="135">
        <v>2.6</v>
      </c>
      <c r="E22" s="135">
        <v>1.1000000000000001</v>
      </c>
      <c r="F22" s="135">
        <v>1</v>
      </c>
      <c r="G22" s="136">
        <v>7.84</v>
      </c>
      <c r="H22" s="149">
        <v>0.76</v>
      </c>
      <c r="I22" s="150">
        <v>2.66</v>
      </c>
      <c r="J22" s="150">
        <v>1.72</v>
      </c>
      <c r="K22" s="150">
        <v>1.36</v>
      </c>
      <c r="L22" s="151">
        <v>6.5</v>
      </c>
      <c r="O22" s="148" t="s">
        <v>1</v>
      </c>
      <c r="P22" s="134">
        <v>0.32</v>
      </c>
      <c r="Q22" s="135">
        <v>2.82</v>
      </c>
      <c r="R22" s="135">
        <v>1.1000000000000001</v>
      </c>
      <c r="S22" s="135">
        <v>1</v>
      </c>
      <c r="T22" s="136">
        <v>7.84</v>
      </c>
      <c r="U22" s="149">
        <v>0.76</v>
      </c>
      <c r="V22" s="150">
        <v>2.66</v>
      </c>
      <c r="W22" s="150">
        <v>1.72</v>
      </c>
      <c r="X22" s="150">
        <v>1.36</v>
      </c>
      <c r="Y22" s="151">
        <v>6.5</v>
      </c>
      <c r="Z22" s="140">
        <f t="shared" si="0"/>
        <v>5.24</v>
      </c>
      <c r="AB22" s="146" t="s">
        <v>61</v>
      </c>
      <c r="AC22" s="134">
        <v>0.36</v>
      </c>
      <c r="AD22" s="135">
        <v>2.1</v>
      </c>
      <c r="AE22" s="135">
        <v>2.2799999999999998</v>
      </c>
      <c r="AF22" s="135">
        <v>1.36</v>
      </c>
      <c r="AG22" s="136">
        <v>8.379999999999999</v>
      </c>
      <c r="AH22" s="147">
        <v>0.96</v>
      </c>
      <c r="AI22" s="32">
        <v>2.84</v>
      </c>
      <c r="AJ22" s="32">
        <v>0.92</v>
      </c>
      <c r="AK22" s="32">
        <v>0.56000000000000005</v>
      </c>
      <c r="AL22" s="33">
        <v>5.28</v>
      </c>
      <c r="AN22" s="141">
        <f t="shared" si="1"/>
        <v>6.1000000000000005</v>
      </c>
    </row>
    <row r="23" spans="1:40" x14ac:dyDescent="0.35">
      <c r="A23" s="148" t="s">
        <v>2</v>
      </c>
      <c r="B23" s="134">
        <v>1.0555555555555556</v>
      </c>
      <c r="C23" s="135">
        <v>2.4230769230769229</v>
      </c>
      <c r="D23" s="135">
        <v>1.5</v>
      </c>
      <c r="E23" s="135">
        <v>1.75</v>
      </c>
      <c r="F23" s="135">
        <v>0.72222222222222221</v>
      </c>
      <c r="G23" s="136">
        <v>7.450854700854701</v>
      </c>
      <c r="H23" s="149">
        <v>0.96</v>
      </c>
      <c r="I23" s="150">
        <v>2.3199999999999998</v>
      </c>
      <c r="J23" s="150">
        <v>1.96</v>
      </c>
      <c r="K23" s="150">
        <v>0.88</v>
      </c>
      <c r="L23" s="151">
        <v>6.12</v>
      </c>
      <c r="O23" s="148" t="s">
        <v>2</v>
      </c>
      <c r="P23" s="134">
        <v>1.0555555555555556</v>
      </c>
      <c r="Q23" s="135">
        <v>2.4230769230769229</v>
      </c>
      <c r="R23" s="135">
        <v>1.75</v>
      </c>
      <c r="S23" s="135">
        <v>0.72222222222222221</v>
      </c>
      <c r="T23" s="136">
        <v>7.450854700854701</v>
      </c>
      <c r="U23" s="149">
        <v>0.96</v>
      </c>
      <c r="V23" s="150">
        <v>2.3199999999999998</v>
      </c>
      <c r="W23" s="150">
        <v>1.96</v>
      </c>
      <c r="X23" s="150">
        <v>0.88</v>
      </c>
      <c r="Y23" s="151">
        <v>6.12</v>
      </c>
      <c r="Z23" s="140">
        <f t="shared" si="0"/>
        <v>5.950854700854701</v>
      </c>
      <c r="AB23" s="146" t="s">
        <v>63</v>
      </c>
      <c r="AC23" s="134">
        <v>0.32</v>
      </c>
      <c r="AD23" s="135">
        <v>2.86</v>
      </c>
      <c r="AE23" s="135">
        <v>2.2400000000000002</v>
      </c>
      <c r="AF23" s="135">
        <v>1.36</v>
      </c>
      <c r="AG23" s="136">
        <v>9.26</v>
      </c>
      <c r="AH23" s="147">
        <v>0.8</v>
      </c>
      <c r="AI23" s="32">
        <v>2.9</v>
      </c>
      <c r="AJ23" s="32">
        <v>2.56</v>
      </c>
      <c r="AK23" s="32">
        <v>1.88</v>
      </c>
      <c r="AL23" s="33">
        <v>8.14</v>
      </c>
      <c r="AN23" s="141">
        <f t="shared" si="1"/>
        <v>6.78</v>
      </c>
    </row>
    <row r="24" spans="1:40" x14ac:dyDescent="0.35">
      <c r="A24" s="148" t="s">
        <v>3</v>
      </c>
      <c r="B24" s="134">
        <v>0.68</v>
      </c>
      <c r="C24" s="135">
        <v>2.9</v>
      </c>
      <c r="D24" s="135">
        <v>1.84</v>
      </c>
      <c r="E24" s="135">
        <v>1.173913043478261</v>
      </c>
      <c r="F24" s="135">
        <v>0.92</v>
      </c>
      <c r="G24" s="136">
        <v>7.5139130434782606</v>
      </c>
      <c r="H24" s="149">
        <v>0.8</v>
      </c>
      <c r="I24" s="150">
        <v>2.38</v>
      </c>
      <c r="J24" s="150">
        <v>1.1499999999999999</v>
      </c>
      <c r="K24" s="150">
        <v>1.2</v>
      </c>
      <c r="L24" s="151">
        <v>5.3</v>
      </c>
      <c r="O24" s="148" t="s">
        <v>3</v>
      </c>
      <c r="P24" s="134">
        <v>0.68</v>
      </c>
      <c r="Q24" s="135">
        <v>2.9</v>
      </c>
      <c r="R24" s="135">
        <v>1.173913043478261</v>
      </c>
      <c r="S24" s="135">
        <v>0.92</v>
      </c>
      <c r="T24" s="136">
        <v>7.5139130434782606</v>
      </c>
      <c r="U24" s="149">
        <v>0.8</v>
      </c>
      <c r="V24" s="150">
        <v>2.38</v>
      </c>
      <c r="W24" s="150">
        <v>1.1499999999999999</v>
      </c>
      <c r="X24" s="150">
        <v>1.2</v>
      </c>
      <c r="Y24" s="151">
        <v>5.3</v>
      </c>
      <c r="Z24" s="140">
        <f t="shared" si="0"/>
        <v>5.6739130434782608</v>
      </c>
      <c r="AB24" s="148" t="s">
        <v>68</v>
      </c>
      <c r="AC24" s="134">
        <v>0.58823529411764708</v>
      </c>
      <c r="AD24" s="135">
        <v>2.8823529411764706</v>
      </c>
      <c r="AE24" s="135">
        <v>1.1875</v>
      </c>
      <c r="AF24" s="135">
        <v>0.88235294117647056</v>
      </c>
      <c r="AG24" s="136">
        <v>8.0110294117647065</v>
      </c>
      <c r="AH24" s="155">
        <v>0.68</v>
      </c>
      <c r="AI24" s="156">
        <v>2.1666666666666665</v>
      </c>
      <c r="AJ24" s="157">
        <v>2.08</v>
      </c>
      <c r="AK24" s="157">
        <v>1.28</v>
      </c>
      <c r="AL24" s="158">
        <v>6.166666666666667</v>
      </c>
      <c r="AN24" s="141">
        <f t="shared" si="1"/>
        <v>5.5404411764705888</v>
      </c>
    </row>
    <row r="25" spans="1:40" x14ac:dyDescent="0.35">
      <c r="A25" s="154" t="s">
        <v>4</v>
      </c>
      <c r="B25" s="134">
        <v>1.68</v>
      </c>
      <c r="C25" s="135">
        <v>2.84</v>
      </c>
      <c r="D25" s="135">
        <v>1.96</v>
      </c>
      <c r="E25" s="135">
        <v>1.7777777777777777</v>
      </c>
      <c r="F25" s="135">
        <v>1.1599999999999999</v>
      </c>
      <c r="G25" s="136">
        <v>9.4177777777777774</v>
      </c>
      <c r="H25" s="149">
        <v>0.72</v>
      </c>
      <c r="I25" s="150">
        <v>2.3199999999999998</v>
      </c>
      <c r="J25" s="150">
        <v>1.64</v>
      </c>
      <c r="K25" s="150">
        <v>0.48</v>
      </c>
      <c r="L25" s="151">
        <v>5.16</v>
      </c>
      <c r="O25" s="154" t="s">
        <v>4</v>
      </c>
      <c r="P25" s="134">
        <v>1.68</v>
      </c>
      <c r="Q25" s="135">
        <v>2.84</v>
      </c>
      <c r="R25" s="135">
        <v>1.7777777777777777</v>
      </c>
      <c r="S25" s="135">
        <v>1.1599999999999999</v>
      </c>
      <c r="T25" s="136">
        <v>9.4177777777777774</v>
      </c>
      <c r="U25" s="149">
        <v>0.72</v>
      </c>
      <c r="V25" s="150">
        <v>2.3199999999999998</v>
      </c>
      <c r="W25" s="150">
        <v>1.64</v>
      </c>
      <c r="X25" s="150">
        <v>0.48</v>
      </c>
      <c r="Y25" s="151">
        <v>5.16</v>
      </c>
      <c r="Z25" s="140">
        <f t="shared" si="0"/>
        <v>7.4577777777777774</v>
      </c>
      <c r="AB25" s="148" t="s">
        <v>2</v>
      </c>
      <c r="AC25" s="134">
        <v>1.0555555555555556</v>
      </c>
      <c r="AD25" s="135">
        <v>2.4230769230769229</v>
      </c>
      <c r="AE25" s="135">
        <v>1.75</v>
      </c>
      <c r="AF25" s="135">
        <v>0.72222222222222221</v>
      </c>
      <c r="AG25" s="136">
        <v>7.450854700854701</v>
      </c>
      <c r="AH25" s="149">
        <v>0.96</v>
      </c>
      <c r="AI25" s="150">
        <v>2.3199999999999998</v>
      </c>
      <c r="AJ25" s="150">
        <v>1.96</v>
      </c>
      <c r="AK25" s="150">
        <v>0.88</v>
      </c>
      <c r="AL25" s="151">
        <v>6.12</v>
      </c>
      <c r="AN25" s="141">
        <f t="shared" si="1"/>
        <v>5.950854700854701</v>
      </c>
    </row>
    <row r="26" spans="1:40" x14ac:dyDescent="0.35">
      <c r="A26" s="148" t="s">
        <v>5</v>
      </c>
      <c r="B26" s="134">
        <v>0.48</v>
      </c>
      <c r="C26" s="135">
        <v>2.96</v>
      </c>
      <c r="D26" s="135">
        <v>2.16</v>
      </c>
      <c r="E26" s="135">
        <v>1.68</v>
      </c>
      <c r="F26" s="135">
        <v>1.36</v>
      </c>
      <c r="G26" s="136">
        <v>8.6399999999999988</v>
      </c>
      <c r="H26" s="149">
        <v>0.84</v>
      </c>
      <c r="I26" s="150">
        <v>2.12</v>
      </c>
      <c r="J26" s="150">
        <v>1.28</v>
      </c>
      <c r="K26" s="150">
        <v>0.96</v>
      </c>
      <c r="L26" s="151">
        <v>5.2</v>
      </c>
      <c r="O26" s="148" t="s">
        <v>5</v>
      </c>
      <c r="P26" s="134">
        <v>0.48</v>
      </c>
      <c r="Q26" s="135">
        <v>2.96</v>
      </c>
      <c r="R26" s="135">
        <v>1.68</v>
      </c>
      <c r="S26" s="135">
        <v>1.36</v>
      </c>
      <c r="T26" s="136">
        <v>8.6399999999999988</v>
      </c>
      <c r="U26" s="149">
        <v>0.84</v>
      </c>
      <c r="V26" s="150">
        <v>2.12</v>
      </c>
      <c r="W26" s="150">
        <v>1.28</v>
      </c>
      <c r="X26" s="150">
        <v>0.96</v>
      </c>
      <c r="Y26" s="151">
        <v>5.2</v>
      </c>
      <c r="Z26" s="140">
        <f t="shared" si="0"/>
        <v>6.48</v>
      </c>
      <c r="AB26" s="148" t="s">
        <v>6</v>
      </c>
      <c r="AC26" s="134">
        <v>0.79166666666666663</v>
      </c>
      <c r="AD26" s="135">
        <v>2.4583333333333335</v>
      </c>
      <c r="AE26" s="135">
        <v>1.7916666666666667</v>
      </c>
      <c r="AF26" s="135">
        <v>1.375</v>
      </c>
      <c r="AG26" s="136">
        <v>8.7083333333333321</v>
      </c>
      <c r="AH26" s="149">
        <v>0.92</v>
      </c>
      <c r="AI26" s="150">
        <v>2.38</v>
      </c>
      <c r="AJ26" s="150">
        <v>1.64</v>
      </c>
      <c r="AK26" s="150">
        <v>0.8</v>
      </c>
      <c r="AL26" s="151">
        <v>5.74</v>
      </c>
      <c r="AN26" s="141">
        <f t="shared" si="1"/>
        <v>6.416666666666667</v>
      </c>
    </row>
    <row r="27" spans="1:40" x14ac:dyDescent="0.35">
      <c r="A27" s="148" t="s">
        <v>6</v>
      </c>
      <c r="B27" s="134">
        <v>0.79166666666666663</v>
      </c>
      <c r="C27" s="135">
        <v>2.4583333333333335</v>
      </c>
      <c r="D27" s="135">
        <v>2.2916666666666665</v>
      </c>
      <c r="E27" s="135">
        <v>1.7916666666666667</v>
      </c>
      <c r="F27" s="135">
        <v>1.375</v>
      </c>
      <c r="G27" s="136">
        <v>8.7083333333333321</v>
      </c>
      <c r="H27" s="149">
        <v>0.92</v>
      </c>
      <c r="I27" s="150">
        <v>2.38</v>
      </c>
      <c r="J27" s="150">
        <v>1.64</v>
      </c>
      <c r="K27" s="150">
        <v>0.8</v>
      </c>
      <c r="L27" s="151">
        <v>5.74</v>
      </c>
      <c r="O27" s="148" t="s">
        <v>6</v>
      </c>
      <c r="P27" s="134">
        <v>0.79166666666666663</v>
      </c>
      <c r="Q27" s="135">
        <v>2.4583333333333335</v>
      </c>
      <c r="R27" s="135">
        <v>1.7916666666666667</v>
      </c>
      <c r="S27" s="135">
        <v>1.375</v>
      </c>
      <c r="T27" s="136">
        <v>8.7083333333333321</v>
      </c>
      <c r="U27" s="149">
        <v>0.92</v>
      </c>
      <c r="V27" s="150">
        <v>2.38</v>
      </c>
      <c r="W27" s="150">
        <v>1.64</v>
      </c>
      <c r="X27" s="150">
        <v>0.8</v>
      </c>
      <c r="Y27" s="151">
        <v>5.74</v>
      </c>
      <c r="Z27" s="140">
        <f t="shared" si="0"/>
        <v>6.416666666666667</v>
      </c>
      <c r="AB27" s="148" t="s">
        <v>15</v>
      </c>
      <c r="AC27" s="134">
        <v>0.28000000000000003</v>
      </c>
      <c r="AD27" s="135">
        <v>2.82</v>
      </c>
      <c r="AE27" s="135">
        <v>0.48</v>
      </c>
      <c r="AF27" s="135">
        <v>0.52</v>
      </c>
      <c r="AG27" s="136">
        <v>6.22</v>
      </c>
      <c r="AH27" s="152">
        <v>0.28000000000000003</v>
      </c>
      <c r="AI27" s="36">
        <v>2.82</v>
      </c>
      <c r="AJ27" s="36">
        <v>0.64</v>
      </c>
      <c r="AK27" s="36">
        <v>0.8</v>
      </c>
      <c r="AL27" s="153">
        <v>4.54</v>
      </c>
      <c r="AN27" s="141">
        <f t="shared" si="1"/>
        <v>4.0999999999999996</v>
      </c>
    </row>
    <row r="28" spans="1:40" x14ac:dyDescent="0.35">
      <c r="A28" s="148" t="s">
        <v>7</v>
      </c>
      <c r="B28" s="134">
        <v>0.58333333333333337</v>
      </c>
      <c r="C28" s="135">
        <v>3</v>
      </c>
      <c r="D28" s="135">
        <v>2.25</v>
      </c>
      <c r="E28" s="135">
        <v>1.25</v>
      </c>
      <c r="F28" s="135">
        <v>1.125</v>
      </c>
      <c r="G28" s="136">
        <v>8.2083333333333339</v>
      </c>
      <c r="H28" s="149">
        <v>1</v>
      </c>
      <c r="I28" s="150">
        <v>2.78</v>
      </c>
      <c r="J28" s="150">
        <v>2.04</v>
      </c>
      <c r="K28" s="150">
        <v>1.04</v>
      </c>
      <c r="L28" s="151">
        <v>6.86</v>
      </c>
      <c r="O28" s="148" t="s">
        <v>7</v>
      </c>
      <c r="P28" s="134">
        <v>0.58333333333333337</v>
      </c>
      <c r="Q28" s="135">
        <v>3</v>
      </c>
      <c r="R28" s="135">
        <v>1.25</v>
      </c>
      <c r="S28" s="135">
        <v>1.125</v>
      </c>
      <c r="T28" s="136">
        <v>8.2083333333333339</v>
      </c>
      <c r="U28" s="149">
        <v>1</v>
      </c>
      <c r="V28" s="150">
        <v>2.78</v>
      </c>
      <c r="W28" s="150">
        <v>2.04</v>
      </c>
      <c r="X28" s="150">
        <v>1.04</v>
      </c>
      <c r="Y28" s="151">
        <v>6.86</v>
      </c>
      <c r="Z28" s="140">
        <f t="shared" si="0"/>
        <v>5.9583333333333339</v>
      </c>
      <c r="AB28" s="148" t="s">
        <v>19</v>
      </c>
      <c r="AC28" s="134">
        <v>0.44</v>
      </c>
      <c r="AD28" s="135">
        <v>2.78</v>
      </c>
      <c r="AE28" s="135">
        <v>0.79166666666666663</v>
      </c>
      <c r="AF28" s="135">
        <v>0.76</v>
      </c>
      <c r="AG28" s="136">
        <v>6.94</v>
      </c>
      <c r="AH28" s="152">
        <v>0.88</v>
      </c>
      <c r="AI28" s="36">
        <v>2.96</v>
      </c>
      <c r="AJ28" s="36">
        <v>1.88</v>
      </c>
      <c r="AK28" s="36">
        <v>1.04</v>
      </c>
      <c r="AL28" s="153">
        <v>6.76</v>
      </c>
      <c r="AN28" s="141">
        <f t="shared" si="1"/>
        <v>4.7716666666666665</v>
      </c>
    </row>
    <row r="29" spans="1:40" ht="15" thickBot="1" x14ac:dyDescent="0.4">
      <c r="A29" s="148" t="s">
        <v>9</v>
      </c>
      <c r="B29" s="134">
        <v>0.48</v>
      </c>
      <c r="C29" s="135">
        <v>2.9</v>
      </c>
      <c r="D29" s="135">
        <v>1.92</v>
      </c>
      <c r="E29" s="135">
        <v>1.0434782608695652</v>
      </c>
      <c r="F29" s="135">
        <v>0.76</v>
      </c>
      <c r="G29" s="136">
        <v>7.103478260869565</v>
      </c>
      <c r="H29" s="152">
        <v>0.32</v>
      </c>
      <c r="I29" s="36">
        <v>2.88</v>
      </c>
      <c r="J29" s="36">
        <v>2.3199999999999998</v>
      </c>
      <c r="K29" s="36">
        <v>1.08</v>
      </c>
      <c r="L29" s="153">
        <v>6.6</v>
      </c>
      <c r="O29" s="148" t="s">
        <v>9</v>
      </c>
      <c r="P29" s="134">
        <v>0.48</v>
      </c>
      <c r="Q29" s="135">
        <v>2.9</v>
      </c>
      <c r="R29" s="135">
        <v>1.0434782608695652</v>
      </c>
      <c r="S29" s="135">
        <v>0.76</v>
      </c>
      <c r="T29" s="136">
        <v>7.103478260869565</v>
      </c>
      <c r="U29" s="152">
        <v>0.32</v>
      </c>
      <c r="V29" s="36">
        <v>2.88</v>
      </c>
      <c r="W29" s="36">
        <v>2.3199999999999998</v>
      </c>
      <c r="X29" s="36">
        <v>1.08</v>
      </c>
      <c r="Y29" s="153">
        <v>6.6</v>
      </c>
      <c r="Z29" s="140">
        <f t="shared" si="0"/>
        <v>5.1834782608695651</v>
      </c>
      <c r="AB29" s="148" t="s">
        <v>24</v>
      </c>
      <c r="AC29" s="159">
        <v>0.38461538461538464</v>
      </c>
      <c r="AD29" s="160">
        <v>3</v>
      </c>
      <c r="AE29" s="160">
        <v>0.45454545454545453</v>
      </c>
      <c r="AF29" s="160">
        <v>1.2307692307692308</v>
      </c>
      <c r="AG29" s="161">
        <v>7.615384615384615</v>
      </c>
      <c r="AH29" s="162">
        <v>1.28</v>
      </c>
      <c r="AI29" s="70">
        <v>3</v>
      </c>
      <c r="AJ29" s="70">
        <v>1.56</v>
      </c>
      <c r="AK29" s="70">
        <v>1.08</v>
      </c>
      <c r="AL29" s="163">
        <v>6.92</v>
      </c>
      <c r="AN29" s="141">
        <f t="shared" si="1"/>
        <v>5.06993006993007</v>
      </c>
    </row>
    <row r="30" spans="1:40" x14ac:dyDescent="0.35">
      <c r="A30" s="148" t="s">
        <v>10</v>
      </c>
      <c r="B30" s="134">
        <v>0.78947368421052633</v>
      </c>
      <c r="C30" s="135">
        <v>2.8947368421052633</v>
      </c>
      <c r="D30" s="135">
        <v>1.3157894736842106</v>
      </c>
      <c r="E30" s="135">
        <v>2.1428571428571428</v>
      </c>
      <c r="F30" s="135">
        <v>1</v>
      </c>
      <c r="G30" s="136">
        <v>8.1428571428571423</v>
      </c>
      <c r="H30" s="152">
        <v>0.88</v>
      </c>
      <c r="I30" s="36">
        <v>2.56</v>
      </c>
      <c r="J30" s="36">
        <v>2.4</v>
      </c>
      <c r="K30" s="36">
        <v>1.52</v>
      </c>
      <c r="L30" s="153">
        <v>7.36</v>
      </c>
      <c r="O30" s="148" t="s">
        <v>10</v>
      </c>
      <c r="P30" s="134">
        <v>0.78947368421052633</v>
      </c>
      <c r="Q30" s="135">
        <v>2.8947368421052633</v>
      </c>
      <c r="R30" s="135">
        <v>2.1428571428571428</v>
      </c>
      <c r="S30" s="135">
        <v>1</v>
      </c>
      <c r="T30" s="136">
        <v>8.1428571428571423</v>
      </c>
      <c r="U30" s="152">
        <v>0.88</v>
      </c>
      <c r="V30" s="36">
        <v>2.56</v>
      </c>
      <c r="W30" s="36">
        <v>2.4</v>
      </c>
      <c r="X30" s="36">
        <v>1.52</v>
      </c>
      <c r="Y30" s="153">
        <v>7.36</v>
      </c>
      <c r="Z30" s="140">
        <f t="shared" si="0"/>
        <v>6.8270676691729317</v>
      </c>
      <c r="AN30" s="140"/>
    </row>
    <row r="31" spans="1:40" x14ac:dyDescent="0.35">
      <c r="A31" s="148" t="s">
        <v>13</v>
      </c>
      <c r="B31" s="134">
        <v>1.04</v>
      </c>
      <c r="C31" s="135">
        <v>2.82</v>
      </c>
      <c r="D31" s="135">
        <v>2.2400000000000002</v>
      </c>
      <c r="E31" s="135">
        <v>1.5217391304347827</v>
      </c>
      <c r="F31" s="135">
        <v>1.08</v>
      </c>
      <c r="G31" s="136">
        <v>8.7017391304347829</v>
      </c>
      <c r="H31" s="152">
        <v>0.68</v>
      </c>
      <c r="I31" s="36">
        <v>3</v>
      </c>
      <c r="J31" s="138">
        <v>1.9166666666666667</v>
      </c>
      <c r="K31" s="36">
        <v>1.28</v>
      </c>
      <c r="L31" s="151">
        <v>6.8</v>
      </c>
      <c r="O31" s="148" t="s">
        <v>13</v>
      </c>
      <c r="P31" s="134">
        <v>1.04</v>
      </c>
      <c r="Q31" s="135">
        <v>2.82</v>
      </c>
      <c r="R31" s="135">
        <v>1.5217391304347827</v>
      </c>
      <c r="S31" s="135">
        <v>1.08</v>
      </c>
      <c r="T31" s="136">
        <v>8.7017391304347829</v>
      </c>
      <c r="U31" s="152">
        <v>0.68</v>
      </c>
      <c r="V31" s="36">
        <v>3</v>
      </c>
      <c r="W31" s="138">
        <v>1.9166666666666667</v>
      </c>
      <c r="X31" s="36">
        <v>1.28</v>
      </c>
      <c r="Y31" s="151">
        <v>6.8</v>
      </c>
      <c r="Z31" s="140">
        <f t="shared" si="0"/>
        <v>6.4617391304347827</v>
      </c>
      <c r="AB31" s="148" t="s">
        <v>1</v>
      </c>
      <c r="AC31" s="134">
        <v>0.32</v>
      </c>
      <c r="AD31" s="135">
        <v>2.82</v>
      </c>
      <c r="AE31" s="135">
        <v>1.1000000000000001</v>
      </c>
      <c r="AF31" s="135">
        <v>1</v>
      </c>
      <c r="AG31" s="136">
        <v>7.84</v>
      </c>
      <c r="AH31" s="149">
        <v>0.76</v>
      </c>
      <c r="AI31" s="150">
        <v>2.66</v>
      </c>
      <c r="AJ31" s="150">
        <v>1.72</v>
      </c>
      <c r="AK31" s="150">
        <v>1.36</v>
      </c>
      <c r="AL31" s="151">
        <v>6.5</v>
      </c>
      <c r="AN31" s="141">
        <f t="shared" si="1"/>
        <v>5.24</v>
      </c>
    </row>
    <row r="32" spans="1:40" x14ac:dyDescent="0.35">
      <c r="A32" s="148" t="s">
        <v>14</v>
      </c>
      <c r="B32" s="134">
        <v>0.66666666666666663</v>
      </c>
      <c r="C32" s="135">
        <v>2.3333333333333335</v>
      </c>
      <c r="D32" s="135">
        <v>2.5</v>
      </c>
      <c r="E32" s="135">
        <v>1</v>
      </c>
      <c r="F32" s="135">
        <v>1.3333333333333333</v>
      </c>
      <c r="G32" s="136">
        <v>7.833333333333333</v>
      </c>
      <c r="H32" s="137">
        <v>0.78260869565217395</v>
      </c>
      <c r="I32" s="36">
        <v>3</v>
      </c>
      <c r="J32" s="36">
        <v>2.44</v>
      </c>
      <c r="K32" s="36">
        <v>1.36</v>
      </c>
      <c r="L32" s="151">
        <v>7.52</v>
      </c>
      <c r="O32" s="148" t="s">
        <v>14</v>
      </c>
      <c r="P32" s="134">
        <v>0.66666666666666663</v>
      </c>
      <c r="Q32" s="135">
        <v>2.3333333333333335</v>
      </c>
      <c r="R32" s="135">
        <v>1</v>
      </c>
      <c r="S32" s="135">
        <v>1.3333333333333333</v>
      </c>
      <c r="T32" s="136">
        <v>7.833333333333333</v>
      </c>
      <c r="U32" s="137">
        <v>0.78260869565217395</v>
      </c>
      <c r="V32" s="36">
        <v>3</v>
      </c>
      <c r="W32" s="36">
        <v>2.44</v>
      </c>
      <c r="X32" s="36">
        <v>1.36</v>
      </c>
      <c r="Y32" s="151">
        <v>7.52</v>
      </c>
      <c r="Z32" s="140">
        <f t="shared" si="0"/>
        <v>5.333333333333333</v>
      </c>
      <c r="AB32" s="148" t="s">
        <v>3</v>
      </c>
      <c r="AC32" s="134">
        <v>0.68</v>
      </c>
      <c r="AD32" s="135">
        <v>2.9</v>
      </c>
      <c r="AE32" s="135">
        <v>1.173913043478261</v>
      </c>
      <c r="AF32" s="135">
        <v>0.92</v>
      </c>
      <c r="AG32" s="136">
        <v>7.5139130434782606</v>
      </c>
      <c r="AH32" s="149">
        <v>0.8</v>
      </c>
      <c r="AI32" s="150">
        <v>2.38</v>
      </c>
      <c r="AJ32" s="150">
        <v>1.1499999999999999</v>
      </c>
      <c r="AK32" s="150">
        <v>1.2</v>
      </c>
      <c r="AL32" s="151">
        <v>5.3</v>
      </c>
      <c r="AN32" s="141">
        <f t="shared" si="1"/>
        <v>5.6739130434782608</v>
      </c>
    </row>
    <row r="33" spans="1:40" x14ac:dyDescent="0.35">
      <c r="A33" s="148" t="s">
        <v>15</v>
      </c>
      <c r="B33" s="134">
        <v>0.28000000000000003</v>
      </c>
      <c r="C33" s="135">
        <v>2.82</v>
      </c>
      <c r="D33" s="135">
        <v>2.12</v>
      </c>
      <c r="E33" s="135">
        <v>0.48</v>
      </c>
      <c r="F33" s="135">
        <v>0.52</v>
      </c>
      <c r="G33" s="136">
        <v>6.22</v>
      </c>
      <c r="H33" s="152">
        <v>0.28000000000000003</v>
      </c>
      <c r="I33" s="36">
        <v>2.82</v>
      </c>
      <c r="J33" s="36">
        <v>0.64</v>
      </c>
      <c r="K33" s="36">
        <v>0.8</v>
      </c>
      <c r="L33" s="153">
        <v>4.54</v>
      </c>
      <c r="O33" s="148" t="s">
        <v>15</v>
      </c>
      <c r="P33" s="134">
        <v>0.28000000000000003</v>
      </c>
      <c r="Q33" s="135">
        <v>2.82</v>
      </c>
      <c r="R33" s="135">
        <v>0.48</v>
      </c>
      <c r="S33" s="135">
        <v>0.52</v>
      </c>
      <c r="T33" s="136">
        <v>6.22</v>
      </c>
      <c r="U33" s="152">
        <v>0.28000000000000003</v>
      </c>
      <c r="V33" s="36">
        <v>2.82</v>
      </c>
      <c r="W33" s="36">
        <v>0.64</v>
      </c>
      <c r="X33" s="36">
        <v>0.8</v>
      </c>
      <c r="Y33" s="153">
        <v>4.54</v>
      </c>
      <c r="Z33" s="140">
        <f t="shared" si="0"/>
        <v>4.0999999999999996</v>
      </c>
      <c r="AB33" s="148" t="s">
        <v>7</v>
      </c>
      <c r="AC33" s="134">
        <v>0.58333333333333337</v>
      </c>
      <c r="AD33" s="135">
        <v>3</v>
      </c>
      <c r="AE33" s="135">
        <v>1.25</v>
      </c>
      <c r="AF33" s="135">
        <v>1.125</v>
      </c>
      <c r="AG33" s="136">
        <v>8.2083333333333339</v>
      </c>
      <c r="AH33" s="149">
        <v>1</v>
      </c>
      <c r="AI33" s="150">
        <v>2.78</v>
      </c>
      <c r="AJ33" s="150">
        <v>2.04</v>
      </c>
      <c r="AK33" s="150">
        <v>1.04</v>
      </c>
      <c r="AL33" s="151">
        <v>6.86</v>
      </c>
      <c r="AN33" s="141">
        <f t="shared" si="1"/>
        <v>5.9583333333333339</v>
      </c>
    </row>
    <row r="34" spans="1:40" x14ac:dyDescent="0.35">
      <c r="A34" s="148" t="s">
        <v>16</v>
      </c>
      <c r="B34" s="134">
        <v>0.16</v>
      </c>
      <c r="C34" s="135">
        <v>2.84</v>
      </c>
      <c r="D34" s="135">
        <v>2.36</v>
      </c>
      <c r="E34" s="135">
        <v>0.56000000000000005</v>
      </c>
      <c r="F34" s="135">
        <v>0.84</v>
      </c>
      <c r="G34" s="136">
        <v>6.76</v>
      </c>
      <c r="H34" s="152">
        <v>0.2</v>
      </c>
      <c r="I34" s="36">
        <v>2.96</v>
      </c>
      <c r="J34" s="36">
        <v>0.92</v>
      </c>
      <c r="K34" s="36">
        <v>0.84</v>
      </c>
      <c r="L34" s="153">
        <v>4.92</v>
      </c>
      <c r="O34" s="148" t="s">
        <v>16</v>
      </c>
      <c r="P34" s="134">
        <v>0.16</v>
      </c>
      <c r="Q34" s="135">
        <v>2.84</v>
      </c>
      <c r="R34" s="135">
        <v>0.56000000000000005</v>
      </c>
      <c r="S34" s="135">
        <v>0.84</v>
      </c>
      <c r="T34" s="136">
        <v>6.76</v>
      </c>
      <c r="U34" s="152">
        <v>0.2</v>
      </c>
      <c r="V34" s="36">
        <v>2.96</v>
      </c>
      <c r="W34" s="36">
        <v>0.92</v>
      </c>
      <c r="X34" s="36">
        <v>0.84</v>
      </c>
      <c r="Y34" s="153">
        <v>4.92</v>
      </c>
      <c r="Z34" s="140">
        <f t="shared" si="0"/>
        <v>4.4000000000000004</v>
      </c>
      <c r="AB34" s="148" t="s">
        <v>9</v>
      </c>
      <c r="AC34" s="134">
        <v>0.48</v>
      </c>
      <c r="AD34" s="135">
        <v>2.9</v>
      </c>
      <c r="AE34" s="135">
        <v>1.0434782608695652</v>
      </c>
      <c r="AF34" s="135">
        <v>0.76</v>
      </c>
      <c r="AG34" s="136">
        <v>7.103478260869565</v>
      </c>
      <c r="AH34" s="152">
        <v>0.32</v>
      </c>
      <c r="AI34" s="36">
        <v>2.88</v>
      </c>
      <c r="AJ34" s="36">
        <v>2.3199999999999998</v>
      </c>
      <c r="AK34" s="36">
        <v>1.08</v>
      </c>
      <c r="AL34" s="153">
        <v>6.6</v>
      </c>
      <c r="AN34" s="141">
        <f t="shared" si="1"/>
        <v>5.1834782608695651</v>
      </c>
    </row>
    <row r="35" spans="1:40" x14ac:dyDescent="0.35">
      <c r="A35" s="154" t="s">
        <v>17</v>
      </c>
      <c r="B35" s="134">
        <v>0.7857142857142857</v>
      </c>
      <c r="C35" s="135">
        <v>2.8571428571428572</v>
      </c>
      <c r="D35" s="135">
        <v>1.9285714285714286</v>
      </c>
      <c r="E35" s="135">
        <v>1</v>
      </c>
      <c r="F35" s="135">
        <v>0.7857142857142857</v>
      </c>
      <c r="G35" s="136">
        <v>7.3571428571428568</v>
      </c>
      <c r="H35" s="152">
        <v>1.2</v>
      </c>
      <c r="I35" s="36">
        <v>2.86</v>
      </c>
      <c r="J35" s="36">
        <v>2.81</v>
      </c>
      <c r="K35" s="36">
        <v>2.56</v>
      </c>
      <c r="L35" s="153">
        <v>8.98</v>
      </c>
      <c r="O35" s="154" t="s">
        <v>17</v>
      </c>
      <c r="P35" s="134">
        <v>0.7857142857142857</v>
      </c>
      <c r="Q35" s="135">
        <v>2.8571428571428572</v>
      </c>
      <c r="R35" s="135">
        <v>1</v>
      </c>
      <c r="S35" s="135">
        <v>0.7857142857142857</v>
      </c>
      <c r="T35" s="136">
        <v>7.3571428571428568</v>
      </c>
      <c r="U35" s="152">
        <v>1.2</v>
      </c>
      <c r="V35" s="36">
        <v>2.86</v>
      </c>
      <c r="W35" s="36">
        <v>2.81</v>
      </c>
      <c r="X35" s="36">
        <v>2.56</v>
      </c>
      <c r="Y35" s="153">
        <v>8.98</v>
      </c>
      <c r="Z35" s="140">
        <f t="shared" si="0"/>
        <v>5.4285714285714279</v>
      </c>
      <c r="AB35" s="148" t="s">
        <v>13</v>
      </c>
      <c r="AC35" s="134">
        <v>1.04</v>
      </c>
      <c r="AD35" s="135">
        <v>2.82</v>
      </c>
      <c r="AE35" s="135">
        <v>1.5217391304347827</v>
      </c>
      <c r="AF35" s="135">
        <v>1.08</v>
      </c>
      <c r="AG35" s="136">
        <v>8.7017391304347829</v>
      </c>
      <c r="AH35" s="152">
        <v>0.68</v>
      </c>
      <c r="AI35" s="36">
        <v>3</v>
      </c>
      <c r="AJ35" s="138">
        <v>1.9166666666666667</v>
      </c>
      <c r="AK35" s="36">
        <v>1.28</v>
      </c>
      <c r="AL35" s="151">
        <v>6.8</v>
      </c>
      <c r="AN35" s="141">
        <f t="shared" si="1"/>
        <v>6.4617391304347827</v>
      </c>
    </row>
    <row r="36" spans="1:40" x14ac:dyDescent="0.35">
      <c r="A36" s="154" t="s">
        <v>18</v>
      </c>
      <c r="B36" s="134">
        <v>1.1200000000000001</v>
      </c>
      <c r="C36" s="135">
        <v>2.92</v>
      </c>
      <c r="D36" s="135">
        <v>2</v>
      </c>
      <c r="E36" s="135">
        <v>1.88</v>
      </c>
      <c r="F36" s="135">
        <v>1.1200000000000001</v>
      </c>
      <c r="G36" s="136">
        <v>9.0399999999999991</v>
      </c>
      <c r="H36" s="152">
        <v>1.2</v>
      </c>
      <c r="I36" s="36">
        <v>2.82</v>
      </c>
      <c r="J36" s="36">
        <v>2.39</v>
      </c>
      <c r="K36" s="36">
        <v>2.48</v>
      </c>
      <c r="L36" s="153">
        <v>8.6999999999999993</v>
      </c>
      <c r="O36" s="154" t="s">
        <v>18</v>
      </c>
      <c r="P36" s="134">
        <v>1.1200000000000001</v>
      </c>
      <c r="Q36" s="135">
        <v>2.92</v>
      </c>
      <c r="R36" s="135">
        <v>1.88</v>
      </c>
      <c r="S36" s="135">
        <v>1.1200000000000001</v>
      </c>
      <c r="T36" s="136">
        <v>9.0399999999999991</v>
      </c>
      <c r="U36" s="152">
        <v>1.2</v>
      </c>
      <c r="V36" s="36">
        <v>2.82</v>
      </c>
      <c r="W36" s="36">
        <v>2.39</v>
      </c>
      <c r="X36" s="36">
        <v>2.48</v>
      </c>
      <c r="Y36" s="153">
        <v>8.6999999999999993</v>
      </c>
      <c r="Z36" s="140">
        <f t="shared" si="0"/>
        <v>7.04</v>
      </c>
      <c r="AB36" s="154" t="s">
        <v>17</v>
      </c>
      <c r="AC36" s="134">
        <v>0.7857142857142857</v>
      </c>
      <c r="AD36" s="135">
        <v>2.8571428571428572</v>
      </c>
      <c r="AE36" s="135">
        <v>1</v>
      </c>
      <c r="AF36" s="135">
        <v>0.7857142857142857</v>
      </c>
      <c r="AG36" s="136">
        <v>7.3571428571428568</v>
      </c>
      <c r="AH36" s="152">
        <v>1.2</v>
      </c>
      <c r="AI36" s="36">
        <v>2.86</v>
      </c>
      <c r="AJ36" s="36">
        <v>2.81</v>
      </c>
      <c r="AK36" s="36">
        <v>2.56</v>
      </c>
      <c r="AL36" s="153">
        <v>8.98</v>
      </c>
      <c r="AN36" s="141">
        <f t="shared" si="1"/>
        <v>5.4285714285714279</v>
      </c>
    </row>
    <row r="37" spans="1:40" x14ac:dyDescent="0.35">
      <c r="A37" s="148" t="s">
        <v>19</v>
      </c>
      <c r="B37" s="134">
        <v>0.44</v>
      </c>
      <c r="C37" s="135">
        <v>2.78</v>
      </c>
      <c r="D37" s="135">
        <v>2.2000000000000002</v>
      </c>
      <c r="E37" s="135">
        <v>0.79166666666666663</v>
      </c>
      <c r="F37" s="135">
        <v>0.76</v>
      </c>
      <c r="G37" s="136">
        <v>6.94</v>
      </c>
      <c r="H37" s="152">
        <v>0.88</v>
      </c>
      <c r="I37" s="36">
        <v>2.96</v>
      </c>
      <c r="J37" s="36">
        <v>1.88</v>
      </c>
      <c r="K37" s="36">
        <v>1.04</v>
      </c>
      <c r="L37" s="153">
        <v>6.76</v>
      </c>
      <c r="O37" s="148" t="s">
        <v>19</v>
      </c>
      <c r="P37" s="134">
        <v>0.44</v>
      </c>
      <c r="Q37" s="135">
        <v>2.78</v>
      </c>
      <c r="R37" s="135">
        <v>0.79166666666666663</v>
      </c>
      <c r="S37" s="135">
        <v>0.76</v>
      </c>
      <c r="T37" s="136">
        <v>6.94</v>
      </c>
      <c r="U37" s="152">
        <v>0.88</v>
      </c>
      <c r="V37" s="36">
        <v>2.96</v>
      </c>
      <c r="W37" s="36">
        <v>1.88</v>
      </c>
      <c r="X37" s="36">
        <v>1.04</v>
      </c>
      <c r="Y37" s="153">
        <v>6.76</v>
      </c>
      <c r="Z37" s="140">
        <f t="shared" si="0"/>
        <v>4.7716666666666665</v>
      </c>
      <c r="AB37" s="148" t="s">
        <v>20</v>
      </c>
      <c r="AC37" s="134">
        <v>0.4</v>
      </c>
      <c r="AD37" s="135">
        <v>2.8</v>
      </c>
      <c r="AE37" s="135">
        <v>1.1200000000000001</v>
      </c>
      <c r="AF37" s="135">
        <v>1</v>
      </c>
      <c r="AG37" s="136">
        <v>7.32</v>
      </c>
      <c r="AH37" s="152">
        <v>0.76</v>
      </c>
      <c r="AI37" s="36">
        <v>2.8</v>
      </c>
      <c r="AJ37" s="36">
        <v>2.3199999999999998</v>
      </c>
      <c r="AK37" s="36">
        <v>1.4</v>
      </c>
      <c r="AL37" s="153">
        <v>7.28</v>
      </c>
      <c r="AN37" s="141">
        <f t="shared" si="1"/>
        <v>5.32</v>
      </c>
    </row>
    <row r="38" spans="1:40" x14ac:dyDescent="0.35">
      <c r="A38" s="148" t="s">
        <v>20</v>
      </c>
      <c r="B38" s="134">
        <v>0.4</v>
      </c>
      <c r="C38" s="135">
        <v>2.8</v>
      </c>
      <c r="D38" s="135">
        <v>2</v>
      </c>
      <c r="E38" s="135">
        <v>1.1200000000000001</v>
      </c>
      <c r="F38" s="135">
        <v>1</v>
      </c>
      <c r="G38" s="136">
        <v>7.32</v>
      </c>
      <c r="H38" s="152">
        <v>0.76</v>
      </c>
      <c r="I38" s="36">
        <v>2.8</v>
      </c>
      <c r="J38" s="36">
        <v>2.3199999999999998</v>
      </c>
      <c r="K38" s="36">
        <v>1.4</v>
      </c>
      <c r="L38" s="153">
        <v>7.28</v>
      </c>
      <c r="O38" s="148" t="s">
        <v>20</v>
      </c>
      <c r="P38" s="134">
        <v>0.4</v>
      </c>
      <c r="Q38" s="135">
        <v>2.8</v>
      </c>
      <c r="R38" s="135">
        <v>1.1200000000000001</v>
      </c>
      <c r="S38" s="135">
        <v>1</v>
      </c>
      <c r="T38" s="136">
        <v>7.32</v>
      </c>
      <c r="U38" s="152">
        <v>0.76</v>
      </c>
      <c r="V38" s="36">
        <v>2.8</v>
      </c>
      <c r="W38" s="36">
        <v>2.3199999999999998</v>
      </c>
      <c r="X38" s="36">
        <v>1.4</v>
      </c>
      <c r="Y38" s="153">
        <v>7.28</v>
      </c>
      <c r="Z38" s="140">
        <f t="shared" si="0"/>
        <v>5.32</v>
      </c>
      <c r="AB38" s="148" t="s">
        <v>21</v>
      </c>
      <c r="AC38" s="134">
        <v>0.52</v>
      </c>
      <c r="AD38" s="135">
        <v>2.84</v>
      </c>
      <c r="AE38" s="135">
        <v>1</v>
      </c>
      <c r="AF38" s="135">
        <v>1.36</v>
      </c>
      <c r="AG38" s="136">
        <v>7.96</v>
      </c>
      <c r="AH38" s="152">
        <v>1.24</v>
      </c>
      <c r="AI38" s="36">
        <v>2.72</v>
      </c>
      <c r="AJ38" s="36">
        <v>1.96</v>
      </c>
      <c r="AK38" s="36">
        <v>1.2</v>
      </c>
      <c r="AL38" s="153">
        <v>7.12</v>
      </c>
      <c r="AN38" s="141">
        <f t="shared" si="1"/>
        <v>5.72</v>
      </c>
    </row>
    <row r="39" spans="1:40" x14ac:dyDescent="0.35">
      <c r="A39" s="148" t="s">
        <v>21</v>
      </c>
      <c r="B39" s="134">
        <v>0.52</v>
      </c>
      <c r="C39" s="135">
        <v>2.84</v>
      </c>
      <c r="D39" s="135">
        <v>2.2799999999999998</v>
      </c>
      <c r="E39" s="135">
        <v>1</v>
      </c>
      <c r="F39" s="135">
        <v>1.36</v>
      </c>
      <c r="G39" s="136">
        <v>7.96</v>
      </c>
      <c r="H39" s="152">
        <v>1.24</v>
      </c>
      <c r="I39" s="36">
        <v>2.72</v>
      </c>
      <c r="J39" s="36">
        <v>1.96</v>
      </c>
      <c r="K39" s="36">
        <v>1.2</v>
      </c>
      <c r="L39" s="153">
        <v>7.12</v>
      </c>
      <c r="O39" s="148" t="s">
        <v>21</v>
      </c>
      <c r="P39" s="134">
        <v>0.52</v>
      </c>
      <c r="Q39" s="135">
        <v>2.84</v>
      </c>
      <c r="R39" s="135">
        <v>1</v>
      </c>
      <c r="S39" s="135">
        <v>1.36</v>
      </c>
      <c r="T39" s="136">
        <v>7.96</v>
      </c>
      <c r="U39" s="152">
        <v>1.24</v>
      </c>
      <c r="V39" s="36">
        <v>2.72</v>
      </c>
      <c r="W39" s="36">
        <v>1.96</v>
      </c>
      <c r="X39" s="36">
        <v>1.2</v>
      </c>
      <c r="Y39" s="153">
        <v>7.12</v>
      </c>
      <c r="Z39" s="140">
        <f t="shared" si="0"/>
        <v>5.72</v>
      </c>
      <c r="AN39" s="140"/>
    </row>
    <row r="40" spans="1:40" x14ac:dyDescent="0.35">
      <c r="A40" s="164" t="s">
        <v>22</v>
      </c>
      <c r="B40" s="165">
        <v>0.48</v>
      </c>
      <c r="C40" s="166">
        <v>2.82</v>
      </c>
      <c r="D40" s="166">
        <v>2.08</v>
      </c>
      <c r="E40" s="166">
        <v>1.2</v>
      </c>
      <c r="F40" s="166">
        <v>0.88</v>
      </c>
      <c r="G40" s="167">
        <v>7.46</v>
      </c>
      <c r="H40" s="152">
        <v>0.72</v>
      </c>
      <c r="I40" s="36">
        <v>2.62</v>
      </c>
      <c r="J40" s="36">
        <v>1.8</v>
      </c>
      <c r="K40" s="36">
        <v>1.1599999999999999</v>
      </c>
      <c r="L40" s="168">
        <v>6.3</v>
      </c>
      <c r="O40" s="164" t="s">
        <v>22</v>
      </c>
      <c r="P40" s="165">
        <v>0.48</v>
      </c>
      <c r="Q40" s="166">
        <v>2.82</v>
      </c>
      <c r="R40" s="166">
        <v>1.2</v>
      </c>
      <c r="S40" s="166">
        <v>0.88</v>
      </c>
      <c r="T40" s="167">
        <v>7.46</v>
      </c>
      <c r="U40" s="152">
        <v>0.72</v>
      </c>
      <c r="V40" s="36">
        <v>2.62</v>
      </c>
      <c r="W40" s="36">
        <v>1.8</v>
      </c>
      <c r="X40" s="36">
        <v>1.1599999999999999</v>
      </c>
      <c r="Y40" s="168">
        <v>6.3</v>
      </c>
      <c r="Z40" s="140">
        <f t="shared" si="0"/>
        <v>5.38</v>
      </c>
      <c r="AB40" s="146" t="s">
        <v>55</v>
      </c>
      <c r="AC40" s="134">
        <v>1.75</v>
      </c>
      <c r="AD40" s="135">
        <v>2.15625</v>
      </c>
      <c r="AE40" s="135">
        <v>2.75</v>
      </c>
      <c r="AF40" s="135">
        <v>1.1875</v>
      </c>
      <c r="AG40" s="136">
        <v>9.59375</v>
      </c>
      <c r="AH40" s="147">
        <v>1.04</v>
      </c>
      <c r="AI40" s="32">
        <v>2.58</v>
      </c>
      <c r="AJ40" s="32">
        <v>2.84</v>
      </c>
      <c r="AK40" s="32">
        <v>1.76</v>
      </c>
      <c r="AL40" s="33">
        <v>8.2200000000000006</v>
      </c>
      <c r="AN40" s="141">
        <f t="shared" si="1"/>
        <v>7.84375</v>
      </c>
    </row>
    <row r="41" spans="1:40" x14ac:dyDescent="0.35">
      <c r="A41" s="154" t="s">
        <v>23</v>
      </c>
      <c r="B41" s="134">
        <v>2.2173913043478262</v>
      </c>
      <c r="C41" s="135">
        <v>3</v>
      </c>
      <c r="D41" s="135">
        <v>2.125</v>
      </c>
      <c r="E41" s="135">
        <v>2.5555555555555554</v>
      </c>
      <c r="F41" s="135">
        <v>2.5416666666666665</v>
      </c>
      <c r="G41" s="136">
        <v>10.75</v>
      </c>
      <c r="H41" s="152">
        <v>0.88</v>
      </c>
      <c r="I41" s="36">
        <v>2.92</v>
      </c>
      <c r="J41" s="36">
        <v>1.6</v>
      </c>
      <c r="K41" s="36">
        <v>1.1200000000000001</v>
      </c>
      <c r="L41" s="153">
        <v>6.52</v>
      </c>
      <c r="O41" s="154" t="s">
        <v>23</v>
      </c>
      <c r="P41" s="134">
        <v>2.2173913043478262</v>
      </c>
      <c r="Q41" s="135">
        <v>3</v>
      </c>
      <c r="R41" s="135">
        <v>2.5555555555555554</v>
      </c>
      <c r="S41" s="135">
        <v>2.5416666666666665</v>
      </c>
      <c r="T41" s="136">
        <v>10.75</v>
      </c>
      <c r="U41" s="152">
        <v>0.88</v>
      </c>
      <c r="V41" s="36">
        <v>2.92</v>
      </c>
      <c r="W41" s="36">
        <v>1.6</v>
      </c>
      <c r="X41" s="36">
        <v>1.1200000000000001</v>
      </c>
      <c r="Y41" s="153">
        <v>6.52</v>
      </c>
      <c r="Z41" s="140">
        <f t="shared" si="0"/>
        <v>10.314613526570048</v>
      </c>
      <c r="AB41" s="154" t="s">
        <v>4</v>
      </c>
      <c r="AC41" s="134">
        <v>1.68</v>
      </c>
      <c r="AD41" s="135">
        <v>2.84</v>
      </c>
      <c r="AE41" s="135">
        <v>1.7777777777777777</v>
      </c>
      <c r="AF41" s="135">
        <v>1.1599999999999999</v>
      </c>
      <c r="AG41" s="136">
        <v>9.4177777777777774</v>
      </c>
      <c r="AH41" s="149">
        <v>0.72</v>
      </c>
      <c r="AI41" s="150">
        <v>2.3199999999999998</v>
      </c>
      <c r="AJ41" s="150">
        <v>1.64</v>
      </c>
      <c r="AK41" s="150">
        <v>0.48</v>
      </c>
      <c r="AL41" s="151">
        <v>5.16</v>
      </c>
      <c r="AN41" s="141">
        <f t="shared" si="1"/>
        <v>7.4577777777777774</v>
      </c>
    </row>
    <row r="42" spans="1:40" ht="15" thickBot="1" x14ac:dyDescent="0.4">
      <c r="A42" s="148" t="s">
        <v>24</v>
      </c>
      <c r="B42" s="159">
        <v>0.38461538461538464</v>
      </c>
      <c r="C42" s="160">
        <v>3</v>
      </c>
      <c r="D42" s="160">
        <v>2.6153846153846154</v>
      </c>
      <c r="E42" s="160">
        <v>0.45454545454545453</v>
      </c>
      <c r="F42" s="160">
        <v>1.2307692307692308</v>
      </c>
      <c r="G42" s="161">
        <v>7.615384615384615</v>
      </c>
      <c r="H42" s="162">
        <v>1.28</v>
      </c>
      <c r="I42" s="70">
        <v>3</v>
      </c>
      <c r="J42" s="70">
        <v>1.56</v>
      </c>
      <c r="K42" s="70">
        <v>1.08</v>
      </c>
      <c r="L42" s="163">
        <v>6.92</v>
      </c>
      <c r="O42" s="148" t="s">
        <v>24</v>
      </c>
      <c r="P42" s="159">
        <v>0.38461538461538464</v>
      </c>
      <c r="Q42" s="160">
        <v>3</v>
      </c>
      <c r="R42" s="160">
        <v>0.45454545454545453</v>
      </c>
      <c r="S42" s="160">
        <v>1.2307692307692308</v>
      </c>
      <c r="T42" s="161">
        <v>7.615384615384615</v>
      </c>
      <c r="U42" s="162">
        <v>1.28</v>
      </c>
      <c r="V42" s="70">
        <v>3</v>
      </c>
      <c r="W42" s="70">
        <v>1.56</v>
      </c>
      <c r="X42" s="70">
        <v>1.08</v>
      </c>
      <c r="Y42" s="163">
        <v>6.92</v>
      </c>
      <c r="Z42" s="140">
        <f t="shared" si="0"/>
        <v>5.06993006993007</v>
      </c>
      <c r="AB42" s="148" t="s">
        <v>10</v>
      </c>
      <c r="AC42" s="134">
        <v>0.78947368421052633</v>
      </c>
      <c r="AD42" s="135">
        <v>2.8947368421052633</v>
      </c>
      <c r="AE42" s="135">
        <v>2.1428571428571428</v>
      </c>
      <c r="AF42" s="135">
        <v>1</v>
      </c>
      <c r="AG42" s="136">
        <v>8.1428571428571423</v>
      </c>
      <c r="AH42" s="152">
        <v>0.88</v>
      </c>
      <c r="AI42" s="36">
        <v>2.56</v>
      </c>
      <c r="AJ42" s="36">
        <v>2.4</v>
      </c>
      <c r="AK42" s="36">
        <v>1.52</v>
      </c>
      <c r="AL42" s="153">
        <v>7.36</v>
      </c>
      <c r="AN42" s="141">
        <f t="shared" si="1"/>
        <v>6.8270676691729317</v>
      </c>
    </row>
    <row r="43" spans="1:40" x14ac:dyDescent="0.35">
      <c r="AB43" s="148" t="s">
        <v>14</v>
      </c>
      <c r="AC43" s="134">
        <v>0.66666666666666663</v>
      </c>
      <c r="AD43" s="135">
        <v>2.3333333333333335</v>
      </c>
      <c r="AE43" s="135">
        <v>1</v>
      </c>
      <c r="AF43" s="135">
        <v>1.3333333333333333</v>
      </c>
      <c r="AG43" s="136">
        <v>7.833333333333333</v>
      </c>
      <c r="AH43" s="137">
        <v>0.78260869565217395</v>
      </c>
      <c r="AI43" s="36">
        <v>3</v>
      </c>
      <c r="AJ43" s="36">
        <v>2.44</v>
      </c>
      <c r="AK43" s="36">
        <v>1.36</v>
      </c>
      <c r="AL43" s="151">
        <v>7.52</v>
      </c>
      <c r="AN43" s="141">
        <f t="shared" si="1"/>
        <v>5.333333333333333</v>
      </c>
    </row>
    <row r="44" spans="1:40" x14ac:dyDescent="0.35">
      <c r="H44">
        <f>CORREL(B2:B42,H2:H42)</f>
        <v>0.3154981165273204</v>
      </c>
      <c r="I44">
        <f>CORREL(C2:C42,I2:I42)</f>
        <v>1.1295886568179407E-3</v>
      </c>
      <c r="J44">
        <f>CORREL(E2:E42,J2:J42)</f>
        <v>0.35354958984085144</v>
      </c>
      <c r="K44">
        <f>CORREL(F2:F42,K2:K42)</f>
        <v>0.16032664706714289</v>
      </c>
      <c r="L44">
        <f>CORREL(G2:G42,L2:L42)</f>
        <v>0.38973863911342777</v>
      </c>
      <c r="U44">
        <f>CORREL(P2:P42,U2:U42)</f>
        <v>0.3154981165273204</v>
      </c>
      <c r="V44">
        <f>CORREL(Q2:Q42,V2:V42)</f>
        <v>1.1295886568179407E-3</v>
      </c>
      <c r="W44">
        <f>CORREL(R2:R42,W2:W42)</f>
        <v>0.35354958984085144</v>
      </c>
      <c r="X44">
        <f>CORREL(S2:S42,X2:X42)</f>
        <v>0.16032664706714289</v>
      </c>
      <c r="Y44">
        <f>CORREL(T2:T42,Y2:Y42)</f>
        <v>0.38973863911342777</v>
      </c>
      <c r="AB44" s="154" t="s">
        <v>18</v>
      </c>
      <c r="AC44" s="134">
        <v>1.1200000000000001</v>
      </c>
      <c r="AD44" s="135">
        <v>2.92</v>
      </c>
      <c r="AE44" s="135">
        <v>1.88</v>
      </c>
      <c r="AF44" s="135">
        <v>1.1200000000000001</v>
      </c>
      <c r="AG44" s="136">
        <v>9.0399999999999991</v>
      </c>
      <c r="AH44" s="152">
        <v>1.2</v>
      </c>
      <c r="AI44" s="36">
        <v>2.82</v>
      </c>
      <c r="AJ44" s="36">
        <v>2.39</v>
      </c>
      <c r="AK44" s="36">
        <v>2.48</v>
      </c>
      <c r="AL44" s="153">
        <v>8.6999999999999993</v>
      </c>
      <c r="AN44" s="141">
        <f t="shared" si="1"/>
        <v>7.04</v>
      </c>
    </row>
    <row r="45" spans="1:40" x14ac:dyDescent="0.35">
      <c r="B45" s="140">
        <f>AVERAGE(B2:B42)</f>
        <v>0.78896428353930115</v>
      </c>
      <c r="C45" s="140">
        <f t="shared" ref="C45:L45" si="2">AVERAGE(C2:C42)</f>
        <v>2.7287365596550797</v>
      </c>
      <c r="D45" s="140">
        <f t="shared" si="2"/>
        <v>2.1737401603279802</v>
      </c>
      <c r="E45" s="140">
        <f t="shared" si="2"/>
        <v>1.4698918833859114</v>
      </c>
      <c r="F45" s="140">
        <f t="shared" si="2"/>
        <v>1.2064090723559877</v>
      </c>
      <c r="G45" s="140">
        <f t="shared" si="2"/>
        <v>8.3230782943089725</v>
      </c>
      <c r="H45" s="140">
        <f t="shared" si="2"/>
        <v>0.88152704135737026</v>
      </c>
      <c r="I45" s="140">
        <f t="shared" si="2"/>
        <v>2.6815447154471537</v>
      </c>
      <c r="J45" s="140">
        <f t="shared" si="2"/>
        <v>1.8119918699186985</v>
      </c>
      <c r="K45" s="140">
        <f t="shared" si="2"/>
        <v>1.193170731707317</v>
      </c>
      <c r="L45" s="140">
        <f t="shared" si="2"/>
        <v>6.5357723577235776</v>
      </c>
      <c r="P45" s="140">
        <f>AVERAGE(P2:P42)</f>
        <v>0.78896428353930115</v>
      </c>
      <c r="Q45" s="140">
        <f t="shared" ref="Q45:Y45" si="3">AVERAGE(Q2:Q42)</f>
        <v>2.7287365596550797</v>
      </c>
      <c r="R45" s="140">
        <f t="shared" si="3"/>
        <v>1.4698918833859114</v>
      </c>
      <c r="S45" s="140">
        <f t="shared" si="3"/>
        <v>1.2064090723559877</v>
      </c>
      <c r="T45" s="140">
        <f t="shared" si="3"/>
        <v>8.3230782943089725</v>
      </c>
      <c r="U45" s="140">
        <f t="shared" si="3"/>
        <v>0.88152704135737026</v>
      </c>
      <c r="V45" s="140">
        <f t="shared" si="3"/>
        <v>2.6815447154471537</v>
      </c>
      <c r="W45" s="140">
        <f t="shared" si="3"/>
        <v>1.8119918699186985</v>
      </c>
      <c r="X45" s="140">
        <f t="shared" si="3"/>
        <v>1.193170731707317</v>
      </c>
      <c r="Y45" s="140">
        <f t="shared" si="3"/>
        <v>6.5357723577235776</v>
      </c>
      <c r="AB45" s="164" t="s">
        <v>22</v>
      </c>
      <c r="AC45" s="165">
        <v>0.48</v>
      </c>
      <c r="AD45" s="166">
        <v>2.82</v>
      </c>
      <c r="AE45" s="166">
        <v>1.2</v>
      </c>
      <c r="AF45" s="166">
        <v>0.88</v>
      </c>
      <c r="AG45" s="167">
        <v>7.46</v>
      </c>
      <c r="AH45" s="152">
        <v>0.72</v>
      </c>
      <c r="AI45" s="36">
        <v>2.62</v>
      </c>
      <c r="AJ45" s="36">
        <v>1.8</v>
      </c>
      <c r="AK45" s="36">
        <v>1.1599999999999999</v>
      </c>
      <c r="AL45" s="168">
        <v>6.3</v>
      </c>
      <c r="AN45" s="141">
        <f t="shared" si="1"/>
        <v>5.38</v>
      </c>
    </row>
    <row r="46" spans="1:40" x14ac:dyDescent="0.35">
      <c r="B46">
        <f>STDEV(B2:B42)</f>
        <v>0.51585779405438204</v>
      </c>
      <c r="C46">
        <f t="shared" ref="C46:L46" si="4">STDEV(C2:C42)</f>
        <v>0.23614844127571716</v>
      </c>
      <c r="D46">
        <f t="shared" si="4"/>
        <v>0.3009174628184772</v>
      </c>
      <c r="E46">
        <f t="shared" si="4"/>
        <v>0.66934623944873484</v>
      </c>
      <c r="F46">
        <f t="shared" si="4"/>
        <v>0.46067096323590001</v>
      </c>
      <c r="G46">
        <f t="shared" si="4"/>
        <v>1.2392046966856474</v>
      </c>
      <c r="H46">
        <f t="shared" si="4"/>
        <v>0.33381841845885962</v>
      </c>
      <c r="I46">
        <f t="shared" si="4"/>
        <v>0.24286266988313424</v>
      </c>
      <c r="J46">
        <f t="shared" si="4"/>
        <v>0.553647904999225</v>
      </c>
      <c r="K46">
        <f t="shared" si="4"/>
        <v>0.48372739753083205</v>
      </c>
      <c r="L46">
        <f t="shared" si="4"/>
        <v>1.2120008765100971</v>
      </c>
      <c r="P46">
        <f>STDEV(P2:P42)</f>
        <v>0.51585779405438204</v>
      </c>
      <c r="Q46">
        <f t="shared" ref="Q46:Y46" si="5">STDEV(Q2:Q42)</f>
        <v>0.23614844127571716</v>
      </c>
      <c r="R46">
        <f t="shared" si="5"/>
        <v>0.66934623944873484</v>
      </c>
      <c r="S46">
        <f t="shared" si="5"/>
        <v>0.46067096323590001</v>
      </c>
      <c r="T46">
        <f t="shared" si="5"/>
        <v>1.2392046966856474</v>
      </c>
      <c r="U46">
        <f t="shared" si="5"/>
        <v>0.33381841845885962</v>
      </c>
      <c r="V46">
        <f t="shared" si="5"/>
        <v>0.24286266988313424</v>
      </c>
      <c r="W46">
        <f t="shared" si="5"/>
        <v>0.553647904999225</v>
      </c>
      <c r="X46">
        <f t="shared" si="5"/>
        <v>0.48372739753083205</v>
      </c>
      <c r="Y46">
        <f t="shared" si="5"/>
        <v>1.2120008765100971</v>
      </c>
    </row>
    <row r="47" spans="1:40" x14ac:dyDescent="0.35">
      <c r="AC47" s="140">
        <f>AVERAGE(AC2:AC11)</f>
        <v>0.93963656633221859</v>
      </c>
      <c r="AD47" s="140">
        <f t="shared" ref="AD47:AL47" si="6">AVERAGE(AD2:AD11)</f>
        <v>2.7533035298035298</v>
      </c>
      <c r="AE47" s="140">
        <f t="shared" si="6"/>
        <v>1.5232548679390787</v>
      </c>
      <c r="AF47" s="140">
        <f t="shared" si="6"/>
        <v>1.4898910256410256</v>
      </c>
      <c r="AG47" s="140">
        <f t="shared" si="6"/>
        <v>8.7880925857767966</v>
      </c>
      <c r="AH47" s="140">
        <f t="shared" si="6"/>
        <v>0.68</v>
      </c>
      <c r="AI47" s="140">
        <f t="shared" si="6"/>
        <v>2.6166666666666671</v>
      </c>
      <c r="AJ47" s="140">
        <f t="shared" si="6"/>
        <v>1.5185</v>
      </c>
      <c r="AK47" s="140">
        <f t="shared" si="6"/>
        <v>1.0559999999999998</v>
      </c>
      <c r="AL47" s="140">
        <f t="shared" si="6"/>
        <v>5.854000000000001</v>
      </c>
      <c r="AM47" s="140"/>
      <c r="AN47" s="140">
        <f t="shared" ref="AN47" si="7">AVERAGE(AN2:AN11)</f>
        <v>6.7060859897158522</v>
      </c>
    </row>
    <row r="48" spans="1:40" x14ac:dyDescent="0.35">
      <c r="B48" s="140">
        <f>AVERAGE(B10:B42)</f>
        <v>0.85258266463041377</v>
      </c>
      <c r="C48" s="140">
        <f t="shared" ref="C48:L48" si="8">AVERAGE(C10:C42)</f>
        <v>2.7350833402396839</v>
      </c>
      <c r="D48" s="140">
        <f t="shared" si="8"/>
        <v>2.1576111238262943</v>
      </c>
      <c r="E48" s="140">
        <f t="shared" si="8"/>
        <v>1.5425696360016103</v>
      </c>
      <c r="F48" s="140">
        <f t="shared" si="8"/>
        <v>1.2770614659652093</v>
      </c>
      <c r="G48" s="140">
        <f t="shared" si="8"/>
        <v>8.5094170105672493</v>
      </c>
      <c r="H48" s="140">
        <f t="shared" si="8"/>
        <v>0.91704874835309613</v>
      </c>
      <c r="I48" s="140">
        <f t="shared" si="8"/>
        <v>2.7011111111111106</v>
      </c>
      <c r="J48" s="140">
        <f t="shared" si="8"/>
        <v>1.8844444444444444</v>
      </c>
      <c r="K48" s="140">
        <f t="shared" si="8"/>
        <v>1.2630303030303025</v>
      </c>
      <c r="L48" s="140">
        <f t="shared" si="8"/>
        <v>6.7305050505050508</v>
      </c>
      <c r="P48" s="140">
        <f>AVERAGE(P10:P42)</f>
        <v>0.85258266463041377</v>
      </c>
      <c r="Q48" s="140">
        <f t="shared" ref="Q48:Y48" si="9">AVERAGE(Q10:Q42)</f>
        <v>2.7350833402396839</v>
      </c>
      <c r="R48" s="140">
        <f t="shared" si="9"/>
        <v>1.5425696360016103</v>
      </c>
      <c r="S48" s="140">
        <f t="shared" si="9"/>
        <v>1.2770614659652093</v>
      </c>
      <c r="T48" s="140">
        <f t="shared" si="9"/>
        <v>8.5094170105672493</v>
      </c>
      <c r="U48" s="140">
        <f t="shared" si="9"/>
        <v>0.91704874835309613</v>
      </c>
      <c r="V48" s="140">
        <f t="shared" si="9"/>
        <v>2.7011111111111106</v>
      </c>
      <c r="W48" s="140">
        <f t="shared" si="9"/>
        <v>1.8844444444444444</v>
      </c>
      <c r="X48" s="140">
        <f t="shared" si="9"/>
        <v>1.2630303030303025</v>
      </c>
      <c r="Y48" s="140">
        <f t="shared" si="9"/>
        <v>6.7305050505050508</v>
      </c>
      <c r="AC48">
        <f>STDEV(AC2:AC11)</f>
        <v>0.79594270782914434</v>
      </c>
      <c r="AD48">
        <f t="shared" ref="AD48:AL48" si="10">STDEV(AD2:AD11)</f>
        <v>0.23655418119402502</v>
      </c>
      <c r="AE48">
        <f t="shared" si="10"/>
        <v>0.83219885810088856</v>
      </c>
      <c r="AF48">
        <f t="shared" si="10"/>
        <v>0.59480825998175513</v>
      </c>
      <c r="AG48">
        <f t="shared" si="10"/>
        <v>1.6515380827263051</v>
      </c>
      <c r="AH48">
        <f t="shared" si="10"/>
        <v>0.35826743580118392</v>
      </c>
      <c r="AI48">
        <f t="shared" si="10"/>
        <v>0.28293435961694419</v>
      </c>
      <c r="AJ48">
        <f t="shared" si="10"/>
        <v>0.43530353394690846</v>
      </c>
      <c r="AK48">
        <f t="shared" si="10"/>
        <v>0.32779397323454462</v>
      </c>
      <c r="AL48">
        <f t="shared" si="10"/>
        <v>1.0655848680940905</v>
      </c>
      <c r="AN48">
        <f t="shared" ref="AN48" si="11">STDEV(AN2:AN11)</f>
        <v>2.1062562151604522</v>
      </c>
    </row>
    <row r="49" spans="2:40" x14ac:dyDescent="0.35">
      <c r="B49">
        <f>STDEV(B10:B42)</f>
        <v>0.54653234334849554</v>
      </c>
      <c r="C49">
        <f t="shared" ref="C49:L49" si="12">STDEV(C10:C42)</f>
        <v>0.24597460259962531</v>
      </c>
      <c r="D49">
        <f t="shared" si="12"/>
        <v>0.31029264031004949</v>
      </c>
      <c r="E49">
        <f t="shared" si="12"/>
        <v>0.71065451852910444</v>
      </c>
      <c r="F49">
        <f t="shared" si="12"/>
        <v>0.48605104915382369</v>
      </c>
      <c r="G49">
        <f t="shared" si="12"/>
        <v>1.2955856436575888</v>
      </c>
      <c r="H49">
        <f t="shared" si="12"/>
        <v>0.31325852663290787</v>
      </c>
      <c r="I49">
        <f t="shared" si="12"/>
        <v>0.24566896576641656</v>
      </c>
      <c r="J49">
        <f t="shared" si="12"/>
        <v>0.55944706498338059</v>
      </c>
      <c r="K49">
        <f t="shared" si="12"/>
        <v>0.50368941849420601</v>
      </c>
      <c r="L49">
        <f t="shared" si="12"/>
        <v>1.208156343707941</v>
      </c>
      <c r="P49">
        <f>STDEV(P10:P42)</f>
        <v>0.54653234334849554</v>
      </c>
      <c r="Q49">
        <f t="shared" ref="Q49:Y49" si="13">STDEV(Q10:Q42)</f>
        <v>0.24597460259962531</v>
      </c>
      <c r="R49">
        <f t="shared" si="13"/>
        <v>0.71065451852910444</v>
      </c>
      <c r="S49">
        <f t="shared" si="13"/>
        <v>0.48605104915382369</v>
      </c>
      <c r="T49">
        <f t="shared" si="13"/>
        <v>1.2955856436575888</v>
      </c>
      <c r="U49">
        <f t="shared" si="13"/>
        <v>0.31325852663290787</v>
      </c>
      <c r="V49">
        <f t="shared" si="13"/>
        <v>0.24566896576641656</v>
      </c>
      <c r="W49">
        <f t="shared" si="13"/>
        <v>0.55944706498338059</v>
      </c>
      <c r="X49">
        <f t="shared" si="13"/>
        <v>0.50368941849420601</v>
      </c>
      <c r="Y49">
        <f t="shared" si="13"/>
        <v>1.208156343707941</v>
      </c>
    </row>
    <row r="50" spans="2:40" x14ac:dyDescent="0.35">
      <c r="AC50" s="140">
        <f>AVERAGE(AC13:AC29)</f>
        <v>0.68564599952143201</v>
      </c>
      <c r="AD50" s="140">
        <f t="shared" ref="AD50:AL50" si="14">AVERAGE(AD13:AD29)</f>
        <v>2.6731588597200906</v>
      </c>
      <c r="AE50" s="140">
        <f t="shared" si="14"/>
        <v>1.4748972461184737</v>
      </c>
      <c r="AF50" s="140">
        <f t="shared" si="14"/>
        <v>1.1677831818316247</v>
      </c>
      <c r="AG50" s="140">
        <f t="shared" si="14"/>
        <v>8.227821137039582</v>
      </c>
      <c r="AH50" s="140">
        <f t="shared" si="14"/>
        <v>1.0141176470588233</v>
      </c>
      <c r="AI50" s="140">
        <f t="shared" si="14"/>
        <v>2.6939215686274509</v>
      </c>
      <c r="AJ50" s="140">
        <f t="shared" si="14"/>
        <v>1.7270588235294118</v>
      </c>
      <c r="AK50" s="140">
        <f t="shared" si="14"/>
        <v>1.0870588235294121</v>
      </c>
      <c r="AL50" s="140">
        <f t="shared" si="14"/>
        <v>6.5133333333333345</v>
      </c>
      <c r="AM50" s="140"/>
      <c r="AN50" s="140">
        <f t="shared" ref="AN50" si="15">AVERAGE(AN13:AN29)</f>
        <v>6.0014852871916204</v>
      </c>
    </row>
    <row r="51" spans="2:40" x14ac:dyDescent="0.35">
      <c r="P51" s="140">
        <f>AVERAGE(P2:P5)</f>
        <v>0.53749999999999998</v>
      </c>
      <c r="Q51" s="140">
        <f t="shared" ref="Q51:Y51" si="16">AVERAGE(Q2:Q5)</f>
        <v>2.6602083333333333</v>
      </c>
      <c r="R51" s="140">
        <f t="shared" si="16"/>
        <v>1.1599999999999999</v>
      </c>
      <c r="S51" s="140">
        <f t="shared" si="16"/>
        <v>0.8899999999999999</v>
      </c>
      <c r="T51" s="140">
        <f t="shared" si="16"/>
        <v>7.5981250000000005</v>
      </c>
      <c r="U51" s="140">
        <f t="shared" si="16"/>
        <v>0.94000000000000006</v>
      </c>
      <c r="V51" s="140">
        <f t="shared" si="16"/>
        <v>2.5649999999999999</v>
      </c>
      <c r="W51" s="140">
        <f t="shared" si="16"/>
        <v>1.75</v>
      </c>
      <c r="X51" s="140">
        <f t="shared" si="16"/>
        <v>1.04</v>
      </c>
      <c r="Y51" s="140">
        <f t="shared" si="16"/>
        <v>6.2949999999999999</v>
      </c>
      <c r="AC51">
        <f>STDEV(AC13:AC29)</f>
        <v>0.34824682506774929</v>
      </c>
      <c r="AD51">
        <f t="shared" ref="AD51:AL51" si="17">STDEV(AD13:AD29)</f>
        <v>0.23936045391158642</v>
      </c>
      <c r="AE51">
        <f t="shared" si="17"/>
        <v>0.7066463012666182</v>
      </c>
      <c r="AF51">
        <f t="shared" si="17"/>
        <v>0.48157406870346453</v>
      </c>
      <c r="AG51">
        <f t="shared" si="17"/>
        <v>1.2652320464560638</v>
      </c>
      <c r="AH51">
        <f t="shared" si="17"/>
        <v>0.33284866725603374</v>
      </c>
      <c r="AI51">
        <f t="shared" si="17"/>
        <v>0.25307068427976809</v>
      </c>
      <c r="AJ51">
        <f t="shared" si="17"/>
        <v>0.57917791638108007</v>
      </c>
      <c r="AK51">
        <f t="shared" si="17"/>
        <v>0.46157021006942045</v>
      </c>
      <c r="AL51">
        <f t="shared" si="17"/>
        <v>1.2295346906677902</v>
      </c>
      <c r="AN51">
        <f t="shared" ref="AN51" si="18">STDEV(AN13:AN29)</f>
        <v>1.1984544127466119</v>
      </c>
    </row>
    <row r="52" spans="2:40" x14ac:dyDescent="0.35">
      <c r="P52">
        <f>STDEV(P2:P5)</f>
        <v>0.17327723451163468</v>
      </c>
      <c r="Q52">
        <f t="shared" ref="Q52:Y52" si="19">STDEV(Q2:Q5)</f>
        <v>0.14253065784569263</v>
      </c>
      <c r="R52">
        <f t="shared" si="19"/>
        <v>0.52357743776191634</v>
      </c>
      <c r="S52">
        <f t="shared" si="19"/>
        <v>0.128062484748658</v>
      </c>
      <c r="T52">
        <f t="shared" si="19"/>
        <v>0.76957611438592199</v>
      </c>
      <c r="U52">
        <f t="shared" si="19"/>
        <v>0.25819888974716099</v>
      </c>
      <c r="V52">
        <f t="shared" si="19"/>
        <v>0.2862982128247864</v>
      </c>
      <c r="W52">
        <f t="shared" si="19"/>
        <v>0.32721043178154791</v>
      </c>
      <c r="X52">
        <f t="shared" si="19"/>
        <v>0.16329931618554439</v>
      </c>
      <c r="Y52">
        <f t="shared" si="19"/>
        <v>0.38863007260547044</v>
      </c>
    </row>
    <row r="53" spans="2:40" x14ac:dyDescent="0.35">
      <c r="AC53" s="140">
        <f>AVERAGE(AC31:AC38)</f>
        <v>0.60113095238095249</v>
      </c>
      <c r="AD53" s="140">
        <f t="shared" ref="AD53:AL53" si="20">AVERAGE(AD31:AD38)</f>
        <v>2.867142857142857</v>
      </c>
      <c r="AE53" s="140">
        <f t="shared" si="20"/>
        <v>1.151141304347826</v>
      </c>
      <c r="AF53" s="140">
        <f t="shared" si="20"/>
        <v>1.0038392857142857</v>
      </c>
      <c r="AG53" s="140">
        <f t="shared" si="20"/>
        <v>7.7505758281573494</v>
      </c>
      <c r="AH53" s="140">
        <f t="shared" si="20"/>
        <v>0.84499999999999997</v>
      </c>
      <c r="AI53" s="140">
        <f t="shared" si="20"/>
        <v>2.76</v>
      </c>
      <c r="AJ53" s="140">
        <f t="shared" si="20"/>
        <v>2.0295833333333335</v>
      </c>
      <c r="AK53" s="140">
        <f t="shared" si="20"/>
        <v>1.39</v>
      </c>
      <c r="AL53" s="140">
        <f t="shared" si="20"/>
        <v>6.9299999999999988</v>
      </c>
      <c r="AM53" s="140"/>
      <c r="AN53" s="140">
        <f t="shared" ref="AN53" si="21">AVERAGE(AN31:AN38)</f>
        <v>5.623254399585921</v>
      </c>
    </row>
    <row r="54" spans="2:40" x14ac:dyDescent="0.35">
      <c r="P54" s="140">
        <f>AVERAGE(P6:P9)</f>
        <v>0.51557692307692304</v>
      </c>
      <c r="Q54" s="140">
        <f t="shared" ref="Q54:Y54" si="22">AVERAGE(Q6:Q9)</f>
        <v>2.7449038461538464</v>
      </c>
      <c r="R54" s="140">
        <f t="shared" si="22"/>
        <v>1.1801923076923078</v>
      </c>
      <c r="S54" s="140">
        <f t="shared" si="22"/>
        <v>0.93993589743589745</v>
      </c>
      <c r="T54" s="140">
        <f t="shared" si="22"/>
        <v>7.5107371794871796</v>
      </c>
      <c r="U54" s="140">
        <f t="shared" si="22"/>
        <v>0.53</v>
      </c>
      <c r="V54" s="140">
        <f t="shared" si="22"/>
        <v>2.6366666666666667</v>
      </c>
      <c r="W54" s="140">
        <f t="shared" si="22"/>
        <v>1.2762500000000001</v>
      </c>
      <c r="X54" s="140">
        <f t="shared" si="22"/>
        <v>0.77</v>
      </c>
      <c r="Y54" s="140">
        <f t="shared" si="22"/>
        <v>5.17</v>
      </c>
      <c r="AC54">
        <f>STDEV(AC31:AC38)</f>
        <v>0.2311330294965713</v>
      </c>
      <c r="AD54">
        <f t="shared" ref="AD54:AL54" si="23">STDEV(AD31:AD38)</f>
        <v>6.5027466724234581E-2</v>
      </c>
      <c r="AE54">
        <f t="shared" si="23"/>
        <v>0.17258466868147518</v>
      </c>
      <c r="AF54">
        <f t="shared" si="23"/>
        <v>0.19325240579857933</v>
      </c>
      <c r="AG54">
        <f t="shared" si="23"/>
        <v>0.53198258686895339</v>
      </c>
      <c r="AH54">
        <f t="shared" si="23"/>
        <v>0.29890275532831306</v>
      </c>
      <c r="AI54">
        <f t="shared" si="23"/>
        <v>0.18516401995451026</v>
      </c>
      <c r="AJ54">
        <f t="shared" si="23"/>
        <v>0.48769766037628959</v>
      </c>
      <c r="AK54">
        <f t="shared" si="23"/>
        <v>0.48884704005591451</v>
      </c>
      <c r="AL54">
        <f t="shared" si="23"/>
        <v>1.0235512409533574</v>
      </c>
      <c r="AN54">
        <f t="shared" ref="AN54" si="24">STDEV(AN31:AN38)</f>
        <v>0.43051667002169147</v>
      </c>
    </row>
    <row r="55" spans="2:40" x14ac:dyDescent="0.35">
      <c r="P55">
        <f>STDEV(P6:P9)</f>
        <v>0.32172021301670006</v>
      </c>
      <c r="Q55">
        <f t="shared" ref="Q55:Y55" si="25">STDEV(Q6:Q9)</f>
        <v>0.26609962672131443</v>
      </c>
      <c r="R55">
        <f t="shared" si="25"/>
        <v>0.12038461538461538</v>
      </c>
      <c r="S55">
        <f t="shared" si="25"/>
        <v>0.10071547140407303</v>
      </c>
      <c r="T55">
        <f t="shared" si="25"/>
        <v>0.12568289791535833</v>
      </c>
      <c r="U55">
        <f t="shared" si="25"/>
        <v>0.43497126341863085</v>
      </c>
      <c r="V55">
        <f t="shared" si="25"/>
        <v>0.18891503087073003</v>
      </c>
      <c r="W55">
        <f t="shared" si="25"/>
        <v>0.44263180711135774</v>
      </c>
      <c r="X55">
        <f t="shared" si="25"/>
        <v>0.25166114784235827</v>
      </c>
      <c r="Y55">
        <f t="shared" si="25"/>
        <v>0.94014183327127154</v>
      </c>
    </row>
    <row r="56" spans="2:40" x14ac:dyDescent="0.35">
      <c r="AC56" s="140">
        <f>AVERAGE(AC40:AC45)</f>
        <v>1.0810233918128656</v>
      </c>
      <c r="AD56" s="140">
        <f t="shared" ref="AD56:AL56" si="26">AVERAGE(AD40:AD45)</f>
        <v>2.6607200292397661</v>
      </c>
      <c r="AE56" s="140">
        <f t="shared" si="26"/>
        <v>1.7917724867724865</v>
      </c>
      <c r="AF56" s="140">
        <f t="shared" si="26"/>
        <v>1.1134722222222222</v>
      </c>
      <c r="AG56" s="140">
        <f t="shared" si="26"/>
        <v>8.5812863756613762</v>
      </c>
      <c r="AH56" s="140">
        <f t="shared" si="26"/>
        <v>0.89043478260869557</v>
      </c>
      <c r="AI56" s="140">
        <f t="shared" si="26"/>
        <v>2.6500000000000004</v>
      </c>
      <c r="AJ56" s="140">
        <f t="shared" si="26"/>
        <v>2.2516666666666665</v>
      </c>
      <c r="AK56" s="140">
        <f t="shared" si="26"/>
        <v>1.46</v>
      </c>
      <c r="AL56" s="140">
        <f t="shared" si="26"/>
        <v>7.21</v>
      </c>
      <c r="AM56" s="140"/>
      <c r="AN56" s="140">
        <f t="shared" ref="AN56" si="27">AVERAGE(AN40:AN45)</f>
        <v>6.6469881300473412</v>
      </c>
    </row>
    <row r="57" spans="2:40" x14ac:dyDescent="0.35">
      <c r="AC57">
        <f>STDEV(AC40:AC45)</f>
        <v>0.53399320232112213</v>
      </c>
      <c r="AD57">
        <f t="shared" ref="AD57:AL57" si="28">STDEV(AD40:AD45)</f>
        <v>0.3289904095866697</v>
      </c>
      <c r="AE57">
        <f t="shared" si="28"/>
        <v>0.6366378398626974</v>
      </c>
      <c r="AF57">
        <f t="shared" si="28"/>
        <v>0.15710613598126266</v>
      </c>
      <c r="AG57">
        <f t="shared" si="28"/>
        <v>0.88816166631152793</v>
      </c>
      <c r="AH57">
        <f t="shared" si="28"/>
        <v>0.19392357156056508</v>
      </c>
      <c r="AI57">
        <f t="shared" si="28"/>
        <v>0.23417941839538334</v>
      </c>
      <c r="AJ57">
        <f t="shared" si="28"/>
        <v>0.44741107123837198</v>
      </c>
      <c r="AK57">
        <f t="shared" si="28"/>
        <v>0.6624801883830187</v>
      </c>
      <c r="AL57">
        <f t="shared" si="28"/>
        <v>1.2953300737649862</v>
      </c>
      <c r="AN57">
        <f t="shared" ref="AN57" si="29">STDEV(AN40:AN45)</f>
        <v>1.0590045933030976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8"/>
  <sheetViews>
    <sheetView zoomScale="50" zoomScaleNormal="50" workbookViewId="0">
      <selection activeCell="S24" sqref="S24"/>
    </sheetView>
  </sheetViews>
  <sheetFormatPr defaultRowHeight="14.5" x14ac:dyDescent="0.35"/>
  <cols>
    <col min="1" max="1" width="16.6328125" customWidth="1"/>
    <col min="2" max="2" width="18.1796875" style="14" customWidth="1"/>
    <col min="3" max="3" width="11.453125" customWidth="1"/>
    <col min="5" max="5" width="11.26953125" customWidth="1"/>
    <col min="7" max="7" width="14.36328125" customWidth="1"/>
    <col min="9" max="9" width="10.453125" customWidth="1"/>
    <col min="11" max="11" width="18.81640625" customWidth="1"/>
  </cols>
  <sheetData>
    <row r="2" spans="1:15" ht="42" x14ac:dyDescent="0.35">
      <c r="C2" s="32"/>
      <c r="D2" s="170" t="s">
        <v>86</v>
      </c>
      <c r="E2" s="170" t="s">
        <v>87</v>
      </c>
      <c r="F2" s="170" t="s">
        <v>88</v>
      </c>
      <c r="G2" s="170" t="s">
        <v>89</v>
      </c>
      <c r="H2" s="170" t="s">
        <v>90</v>
      </c>
      <c r="I2" s="170" t="s">
        <v>91</v>
      </c>
      <c r="J2" s="170" t="s">
        <v>92</v>
      </c>
      <c r="K2" s="170" t="s">
        <v>93</v>
      </c>
      <c r="L2" s="170" t="s">
        <v>94</v>
      </c>
      <c r="M2" s="170" t="s">
        <v>95</v>
      </c>
      <c r="N2" s="170" t="s">
        <v>96</v>
      </c>
      <c r="O2" s="170" t="s">
        <v>97</v>
      </c>
    </row>
    <row r="3" spans="1:15" x14ac:dyDescent="0.35">
      <c r="A3" s="171" t="s">
        <v>98</v>
      </c>
      <c r="B3" s="172"/>
      <c r="C3" s="26" t="s">
        <v>99</v>
      </c>
      <c r="D3" s="173" t="s">
        <v>100</v>
      </c>
      <c r="E3" s="173" t="s">
        <v>101</v>
      </c>
      <c r="F3" s="174">
        <v>39</v>
      </c>
      <c r="G3" s="174" t="s">
        <v>102</v>
      </c>
      <c r="H3" s="174">
        <v>24.3</v>
      </c>
      <c r="I3" s="174">
        <v>17.670000000000002</v>
      </c>
      <c r="J3" s="173">
        <v>0</v>
      </c>
      <c r="K3" s="173" t="s">
        <v>103</v>
      </c>
      <c r="L3" s="173" t="s">
        <v>104</v>
      </c>
      <c r="M3" s="173">
        <v>4</v>
      </c>
      <c r="N3" s="173">
        <v>11</v>
      </c>
      <c r="O3" s="173" t="s">
        <v>105</v>
      </c>
    </row>
    <row r="4" spans="1:15" x14ac:dyDescent="0.35">
      <c r="A4" s="171" t="s">
        <v>106</v>
      </c>
      <c r="B4" s="172"/>
      <c r="C4" s="26" t="s">
        <v>107</v>
      </c>
      <c r="D4" s="173" t="s">
        <v>100</v>
      </c>
      <c r="E4" s="173" t="s">
        <v>101</v>
      </c>
      <c r="F4" s="174">
        <v>57</v>
      </c>
      <c r="G4" s="174" t="s">
        <v>102</v>
      </c>
      <c r="H4" s="174">
        <v>23.4</v>
      </c>
      <c r="I4" s="174">
        <v>35.85</v>
      </c>
      <c r="J4" s="173">
        <v>0</v>
      </c>
      <c r="K4" s="173" t="s">
        <v>103</v>
      </c>
      <c r="L4" s="173" t="s">
        <v>101</v>
      </c>
      <c r="M4" s="173">
        <v>3</v>
      </c>
      <c r="N4" s="173">
        <v>45</v>
      </c>
      <c r="O4" s="173" t="s">
        <v>108</v>
      </c>
    </row>
    <row r="5" spans="1:15" x14ac:dyDescent="0.35">
      <c r="A5" s="171" t="s">
        <v>109</v>
      </c>
      <c r="B5" s="172"/>
      <c r="C5" s="26" t="s">
        <v>110</v>
      </c>
      <c r="D5" s="173" t="s">
        <v>100</v>
      </c>
      <c r="E5" s="173" t="s">
        <v>101</v>
      </c>
      <c r="F5" s="174">
        <v>56</v>
      </c>
      <c r="G5" s="174" t="s">
        <v>102</v>
      </c>
      <c r="H5" s="174">
        <v>22</v>
      </c>
      <c r="I5" s="174">
        <v>13.08</v>
      </c>
      <c r="J5" s="173">
        <v>0</v>
      </c>
      <c r="K5" s="173" t="s">
        <v>103</v>
      </c>
      <c r="L5" s="173" t="s">
        <v>101</v>
      </c>
      <c r="M5" s="173">
        <v>2</v>
      </c>
      <c r="N5" s="173">
        <v>25</v>
      </c>
      <c r="O5" s="173" t="s">
        <v>105</v>
      </c>
    </row>
    <row r="6" spans="1:15" x14ac:dyDescent="0.35">
      <c r="A6" s="171" t="s">
        <v>111</v>
      </c>
      <c r="B6" s="172"/>
      <c r="C6" s="26" t="s">
        <v>112</v>
      </c>
      <c r="D6" s="173" t="s">
        <v>100</v>
      </c>
      <c r="E6" s="173" t="s">
        <v>101</v>
      </c>
      <c r="F6" s="174">
        <v>65</v>
      </c>
      <c r="G6" s="174" t="s">
        <v>102</v>
      </c>
      <c r="H6" s="174">
        <v>23.9</v>
      </c>
      <c r="I6" s="174">
        <v>4.53</v>
      </c>
      <c r="J6" s="173">
        <v>0</v>
      </c>
      <c r="K6" s="173" t="s">
        <v>103</v>
      </c>
      <c r="L6" s="173" t="s">
        <v>101</v>
      </c>
      <c r="M6" s="173">
        <v>3</v>
      </c>
      <c r="N6" s="173">
        <v>24</v>
      </c>
      <c r="O6" s="173" t="s">
        <v>105</v>
      </c>
    </row>
    <row r="7" spans="1:15" x14ac:dyDescent="0.35">
      <c r="A7" s="171" t="s">
        <v>113</v>
      </c>
      <c r="B7" s="172"/>
      <c r="C7" s="26" t="s">
        <v>114</v>
      </c>
      <c r="D7" s="173" t="s">
        <v>100</v>
      </c>
      <c r="E7" s="173" t="s">
        <v>101</v>
      </c>
      <c r="F7" s="174">
        <v>18</v>
      </c>
      <c r="G7" s="174" t="s">
        <v>102</v>
      </c>
      <c r="H7" s="174">
        <v>21.7</v>
      </c>
      <c r="I7" s="174">
        <v>21.68</v>
      </c>
      <c r="J7" s="173">
        <v>0</v>
      </c>
      <c r="K7" s="173" t="s">
        <v>115</v>
      </c>
      <c r="L7" s="173" t="s">
        <v>104</v>
      </c>
      <c r="M7" s="173">
        <v>6</v>
      </c>
      <c r="N7" s="173">
        <v>25</v>
      </c>
      <c r="O7" s="173" t="s">
        <v>116</v>
      </c>
    </row>
    <row r="8" spans="1:15" x14ac:dyDescent="0.35">
      <c r="A8" s="175" t="s">
        <v>117</v>
      </c>
      <c r="B8" s="176"/>
      <c r="C8" s="26" t="s">
        <v>118</v>
      </c>
      <c r="D8" s="173" t="s">
        <v>100</v>
      </c>
      <c r="E8" s="173" t="s">
        <v>101</v>
      </c>
      <c r="F8" s="174">
        <v>63</v>
      </c>
      <c r="G8" s="174" t="s">
        <v>102</v>
      </c>
      <c r="H8" s="174">
        <v>31.6</v>
      </c>
      <c r="I8" s="174">
        <v>8.07</v>
      </c>
      <c r="J8" s="173">
        <v>0</v>
      </c>
      <c r="K8" s="173" t="s">
        <v>103</v>
      </c>
      <c r="L8" s="173" t="s">
        <v>101</v>
      </c>
      <c r="M8" s="173">
        <v>3</v>
      </c>
      <c r="N8" s="173">
        <v>41</v>
      </c>
      <c r="O8" s="173" t="s">
        <v>108</v>
      </c>
    </row>
    <row r="9" spans="1:15" x14ac:dyDescent="0.35">
      <c r="A9" s="175" t="s">
        <v>119</v>
      </c>
      <c r="B9" s="176"/>
      <c r="C9" s="26" t="s">
        <v>120</v>
      </c>
      <c r="D9" s="173" t="s">
        <v>100</v>
      </c>
      <c r="E9" s="173" t="s">
        <v>101</v>
      </c>
      <c r="F9" s="174">
        <v>63</v>
      </c>
      <c r="G9" s="174" t="s">
        <v>121</v>
      </c>
      <c r="H9" s="174">
        <v>26.9</v>
      </c>
      <c r="I9" s="174">
        <v>21.97</v>
      </c>
      <c r="J9" s="173">
        <v>0</v>
      </c>
      <c r="K9" s="173" t="s">
        <v>103</v>
      </c>
      <c r="L9" s="173" t="s">
        <v>101</v>
      </c>
      <c r="M9" s="173">
        <v>2</v>
      </c>
      <c r="N9" s="173">
        <v>40</v>
      </c>
      <c r="O9" s="173" t="s">
        <v>108</v>
      </c>
    </row>
    <row r="10" spans="1:15" x14ac:dyDescent="0.35">
      <c r="A10" s="175" t="s">
        <v>122</v>
      </c>
      <c r="B10" s="176"/>
      <c r="C10" s="26" t="s">
        <v>123</v>
      </c>
      <c r="D10" s="173" t="s">
        <v>100</v>
      </c>
      <c r="E10" s="173" t="s">
        <v>101</v>
      </c>
      <c r="F10" s="173">
        <v>25</v>
      </c>
      <c r="G10" s="173" t="s">
        <v>121</v>
      </c>
      <c r="H10" s="173">
        <v>25</v>
      </c>
      <c r="I10" s="173">
        <v>19.600000000000001</v>
      </c>
      <c r="J10" s="173">
        <v>0</v>
      </c>
      <c r="K10" s="173" t="s">
        <v>115</v>
      </c>
      <c r="L10" s="173" t="s">
        <v>124</v>
      </c>
      <c r="M10" s="173">
        <v>3</v>
      </c>
      <c r="N10" s="173">
        <v>17</v>
      </c>
      <c r="O10" s="173" t="s">
        <v>105</v>
      </c>
    </row>
    <row r="11" spans="1:15" x14ac:dyDescent="0.35">
      <c r="A11" s="175" t="s">
        <v>125</v>
      </c>
      <c r="B11" s="176"/>
      <c r="C11" s="26" t="s">
        <v>126</v>
      </c>
      <c r="D11" s="173" t="s">
        <v>100</v>
      </c>
      <c r="E11" s="173" t="s">
        <v>101</v>
      </c>
      <c r="F11" s="173">
        <v>71</v>
      </c>
      <c r="G11" s="173" t="s">
        <v>102</v>
      </c>
      <c r="H11" s="173">
        <v>24.8</v>
      </c>
      <c r="I11" s="173">
        <v>25.6</v>
      </c>
      <c r="J11" s="173">
        <v>0</v>
      </c>
      <c r="K11" s="173" t="s">
        <v>103</v>
      </c>
      <c r="L11" s="173" t="s">
        <v>101</v>
      </c>
      <c r="M11" s="173">
        <v>2</v>
      </c>
      <c r="N11" s="173">
        <v>18</v>
      </c>
      <c r="O11" s="173" t="s">
        <v>105</v>
      </c>
    </row>
    <row r="12" spans="1:15" x14ac:dyDescent="0.35">
      <c r="A12" s="175" t="s">
        <v>127</v>
      </c>
      <c r="B12" s="176"/>
      <c r="C12" s="26" t="s">
        <v>128</v>
      </c>
      <c r="D12" s="173" t="s">
        <v>100</v>
      </c>
      <c r="E12" s="173" t="s">
        <v>101</v>
      </c>
      <c r="F12" s="173">
        <v>71</v>
      </c>
      <c r="G12" s="173" t="s">
        <v>102</v>
      </c>
      <c r="H12" s="173">
        <v>26.3</v>
      </c>
      <c r="I12" s="173">
        <v>3.55</v>
      </c>
      <c r="J12" s="173">
        <v>0</v>
      </c>
      <c r="K12" s="173" t="s">
        <v>115</v>
      </c>
      <c r="L12" s="173" t="s">
        <v>101</v>
      </c>
      <c r="M12" s="173">
        <v>1</v>
      </c>
      <c r="N12" s="173">
        <v>49</v>
      </c>
      <c r="O12" s="173" t="s">
        <v>108</v>
      </c>
    </row>
    <row r="13" spans="1:15" x14ac:dyDescent="0.35">
      <c r="A13" s="175" t="s">
        <v>129</v>
      </c>
      <c r="B13" s="176"/>
      <c r="C13" s="26" t="s">
        <v>130</v>
      </c>
      <c r="D13" s="173" t="s">
        <v>100</v>
      </c>
      <c r="E13" s="173" t="s">
        <v>101</v>
      </c>
      <c r="F13" s="173">
        <v>63</v>
      </c>
      <c r="G13" s="173" t="s">
        <v>102</v>
      </c>
      <c r="H13" s="173">
        <v>30.8</v>
      </c>
      <c r="I13" s="173">
        <v>7.32</v>
      </c>
      <c r="J13" s="173">
        <v>0</v>
      </c>
      <c r="K13" s="173" t="s">
        <v>103</v>
      </c>
      <c r="L13" s="173" t="s">
        <v>104</v>
      </c>
      <c r="M13" s="173">
        <v>2</v>
      </c>
      <c r="N13" s="173">
        <v>25</v>
      </c>
      <c r="O13" s="173" t="s">
        <v>105</v>
      </c>
    </row>
    <row r="14" spans="1:15" x14ac:dyDescent="0.35">
      <c r="A14" s="175" t="s">
        <v>131</v>
      </c>
      <c r="B14" s="176"/>
      <c r="C14" s="26" t="s">
        <v>132</v>
      </c>
      <c r="D14" s="173" t="s">
        <v>100</v>
      </c>
      <c r="E14" s="173" t="s">
        <v>101</v>
      </c>
      <c r="F14" s="173">
        <v>29</v>
      </c>
      <c r="G14" s="173" t="s">
        <v>102</v>
      </c>
      <c r="H14" s="173">
        <v>25.4</v>
      </c>
      <c r="I14" s="173">
        <v>5.48</v>
      </c>
      <c r="J14" s="173">
        <v>0</v>
      </c>
      <c r="K14" s="173" t="s">
        <v>115</v>
      </c>
      <c r="L14" s="173" t="s">
        <v>104</v>
      </c>
      <c r="M14" s="173">
        <v>4</v>
      </c>
      <c r="N14" s="173">
        <v>25</v>
      </c>
      <c r="O14" s="173" t="s">
        <v>116</v>
      </c>
    </row>
    <row r="15" spans="1:15" x14ac:dyDescent="0.35">
      <c r="A15" s="175" t="s">
        <v>133</v>
      </c>
      <c r="B15" s="176"/>
      <c r="C15" s="26" t="s">
        <v>134</v>
      </c>
      <c r="D15" s="173" t="s">
        <v>100</v>
      </c>
      <c r="E15" s="173" t="s">
        <v>101</v>
      </c>
      <c r="F15" s="173">
        <v>73</v>
      </c>
      <c r="G15" s="173" t="s">
        <v>102</v>
      </c>
      <c r="H15" s="173">
        <v>33.799999999999997</v>
      </c>
      <c r="I15" s="173">
        <v>17.2</v>
      </c>
      <c r="J15" s="173">
        <v>0</v>
      </c>
      <c r="K15" s="173" t="s">
        <v>103</v>
      </c>
      <c r="L15" s="173" t="s">
        <v>104</v>
      </c>
      <c r="M15" s="173">
        <v>1</v>
      </c>
      <c r="N15" s="173">
        <v>25</v>
      </c>
      <c r="O15" s="173" t="s">
        <v>105</v>
      </c>
    </row>
    <row r="16" spans="1:15" x14ac:dyDescent="0.35">
      <c r="A16" s="175" t="s">
        <v>135</v>
      </c>
      <c r="B16" s="176"/>
      <c r="C16" s="26" t="s">
        <v>136</v>
      </c>
      <c r="D16" s="173" t="s">
        <v>100</v>
      </c>
      <c r="E16" s="173" t="s">
        <v>101</v>
      </c>
      <c r="F16" s="173">
        <v>56</v>
      </c>
      <c r="G16" s="173" t="s">
        <v>102</v>
      </c>
      <c r="H16" s="173">
        <v>23.4</v>
      </c>
      <c r="I16" s="173">
        <v>8.68</v>
      </c>
      <c r="J16" s="173">
        <v>0</v>
      </c>
      <c r="K16" s="173" t="s">
        <v>103</v>
      </c>
      <c r="L16" s="173" t="s">
        <v>101</v>
      </c>
      <c r="M16" s="173">
        <v>2</v>
      </c>
      <c r="N16" s="173">
        <v>25</v>
      </c>
      <c r="O16" s="173" t="s">
        <v>116</v>
      </c>
    </row>
    <row r="17" spans="1:15" x14ac:dyDescent="0.35">
      <c r="A17" s="175" t="s">
        <v>137</v>
      </c>
      <c r="B17" s="176"/>
      <c r="C17" s="26" t="s">
        <v>138</v>
      </c>
      <c r="D17" s="173" t="s">
        <v>100</v>
      </c>
      <c r="E17" s="173" t="s">
        <v>101</v>
      </c>
      <c r="F17" s="173">
        <v>18</v>
      </c>
      <c r="G17" s="173" t="s">
        <v>102</v>
      </c>
      <c r="H17" s="173">
        <v>41.5</v>
      </c>
      <c r="I17" s="173">
        <v>19.100000000000001</v>
      </c>
      <c r="J17" s="173">
        <v>0</v>
      </c>
      <c r="K17" s="173" t="s">
        <v>115</v>
      </c>
      <c r="L17" s="173" t="s">
        <v>104</v>
      </c>
      <c r="M17" s="173">
        <v>4</v>
      </c>
      <c r="N17" s="173">
        <v>13</v>
      </c>
      <c r="O17" s="173" t="s">
        <v>105</v>
      </c>
    </row>
    <row r="18" spans="1:15" x14ac:dyDescent="0.35">
      <c r="A18" s="175" t="s">
        <v>139</v>
      </c>
      <c r="B18" s="176"/>
      <c r="C18" s="26" t="s">
        <v>140</v>
      </c>
      <c r="D18" s="173" t="s">
        <v>100</v>
      </c>
      <c r="E18" s="173" t="s">
        <v>141</v>
      </c>
      <c r="F18" s="173">
        <v>38</v>
      </c>
      <c r="G18" s="173" t="s">
        <v>121</v>
      </c>
      <c r="H18" s="173">
        <v>23.2</v>
      </c>
      <c r="I18" s="173">
        <v>4.6500000000000004</v>
      </c>
      <c r="J18" s="173">
        <v>0</v>
      </c>
      <c r="K18" s="173" t="s">
        <v>142</v>
      </c>
      <c r="L18" s="173" t="s">
        <v>101</v>
      </c>
      <c r="M18" s="173">
        <v>2</v>
      </c>
      <c r="N18" s="173">
        <v>50</v>
      </c>
      <c r="O18" s="173" t="s">
        <v>108</v>
      </c>
    </row>
    <row r="19" spans="1:15" x14ac:dyDescent="0.35">
      <c r="A19" s="175" t="s">
        <v>143</v>
      </c>
      <c r="B19" s="176"/>
      <c r="C19" s="26" t="s">
        <v>144</v>
      </c>
      <c r="D19" s="173" t="s">
        <v>100</v>
      </c>
      <c r="E19" s="173" t="s">
        <v>141</v>
      </c>
      <c r="F19" s="173">
        <v>33</v>
      </c>
      <c r="G19" s="173" t="s">
        <v>102</v>
      </c>
      <c r="H19" s="173">
        <v>21.6</v>
      </c>
      <c r="I19" s="173">
        <v>6.53</v>
      </c>
      <c r="J19" s="173">
        <v>0</v>
      </c>
      <c r="K19" s="173" t="s">
        <v>103</v>
      </c>
      <c r="L19" s="173" t="s">
        <v>101</v>
      </c>
      <c r="M19" s="173">
        <v>3</v>
      </c>
      <c r="N19" s="173">
        <v>24</v>
      </c>
      <c r="O19" s="173" t="s">
        <v>105</v>
      </c>
    </row>
    <row r="20" spans="1:15" x14ac:dyDescent="0.35">
      <c r="A20" s="175" t="s">
        <v>145</v>
      </c>
      <c r="B20" s="176"/>
      <c r="C20" s="26" t="s">
        <v>146</v>
      </c>
      <c r="D20" s="173" t="s">
        <v>100</v>
      </c>
      <c r="E20" s="173" t="s">
        <v>141</v>
      </c>
      <c r="F20" s="173">
        <v>60</v>
      </c>
      <c r="G20" s="173" t="s">
        <v>102</v>
      </c>
      <c r="H20" s="173">
        <v>26.7</v>
      </c>
      <c r="I20" s="173">
        <v>7.68</v>
      </c>
      <c r="J20" s="173">
        <v>0</v>
      </c>
      <c r="K20" s="173" t="s">
        <v>103</v>
      </c>
      <c r="L20" s="173" t="s">
        <v>101</v>
      </c>
      <c r="M20" s="173">
        <v>2</v>
      </c>
      <c r="N20" s="173">
        <v>25</v>
      </c>
      <c r="O20" s="173" t="s">
        <v>105</v>
      </c>
    </row>
    <row r="21" spans="1:15" x14ac:dyDescent="0.35">
      <c r="A21" s="175" t="s">
        <v>147</v>
      </c>
      <c r="B21" s="176"/>
      <c r="C21" s="26" t="s">
        <v>148</v>
      </c>
      <c r="D21" s="173" t="s">
        <v>100</v>
      </c>
      <c r="E21" s="173" t="s">
        <v>149</v>
      </c>
      <c r="F21" s="173">
        <v>70</v>
      </c>
      <c r="G21" s="173" t="s">
        <v>102</v>
      </c>
      <c r="H21" s="173">
        <v>34.9</v>
      </c>
      <c r="I21" s="173">
        <v>6.98</v>
      </c>
      <c r="J21" s="173">
        <v>0</v>
      </c>
      <c r="K21" s="173" t="s">
        <v>103</v>
      </c>
      <c r="L21" s="173" t="s">
        <v>101</v>
      </c>
      <c r="M21" s="173">
        <v>8</v>
      </c>
      <c r="N21" s="173">
        <v>13</v>
      </c>
      <c r="O21" s="173" t="s">
        <v>116</v>
      </c>
    </row>
    <row r="22" spans="1:15" x14ac:dyDescent="0.35">
      <c r="A22" s="175" t="s">
        <v>150</v>
      </c>
      <c r="B22" s="176"/>
      <c r="C22" s="26" t="s">
        <v>151</v>
      </c>
      <c r="D22" s="173" t="s">
        <v>100</v>
      </c>
      <c r="E22" s="173" t="s">
        <v>149</v>
      </c>
      <c r="F22" s="173">
        <v>63</v>
      </c>
      <c r="G22" s="173" t="s">
        <v>102</v>
      </c>
      <c r="H22" s="173">
        <v>32.799999999999997</v>
      </c>
      <c r="I22" s="173">
        <v>5.03</v>
      </c>
      <c r="J22" s="173">
        <v>0</v>
      </c>
      <c r="K22" s="173" t="s">
        <v>103</v>
      </c>
      <c r="L22" s="173" t="s">
        <v>101</v>
      </c>
      <c r="M22" s="173">
        <v>3</v>
      </c>
      <c r="N22" s="173">
        <v>25</v>
      </c>
      <c r="O22" s="173" t="s">
        <v>105</v>
      </c>
    </row>
    <row r="23" spans="1:15" x14ac:dyDescent="0.35">
      <c r="A23" s="175" t="s">
        <v>152</v>
      </c>
      <c r="B23" s="176"/>
      <c r="C23" s="26" t="s">
        <v>153</v>
      </c>
      <c r="D23" s="173" t="s">
        <v>100</v>
      </c>
      <c r="E23" s="173" t="s">
        <v>149</v>
      </c>
      <c r="F23" s="173">
        <v>71</v>
      </c>
      <c r="G23" s="173" t="s">
        <v>121</v>
      </c>
      <c r="H23" s="173">
        <v>28.6</v>
      </c>
      <c r="I23" s="173">
        <v>6.28</v>
      </c>
      <c r="J23" s="173">
        <v>0</v>
      </c>
      <c r="K23" s="173" t="s">
        <v>103</v>
      </c>
      <c r="L23" s="173" t="s">
        <v>101</v>
      </c>
      <c r="M23" s="173">
        <v>2</v>
      </c>
      <c r="N23" s="173">
        <v>37</v>
      </c>
      <c r="O23" s="173" t="s">
        <v>108</v>
      </c>
    </row>
    <row r="24" spans="1:15" x14ac:dyDescent="0.35">
      <c r="A24" s="171" t="s">
        <v>154</v>
      </c>
      <c r="B24" s="172"/>
      <c r="C24" s="26" t="s">
        <v>155</v>
      </c>
      <c r="D24" s="173" t="s">
        <v>156</v>
      </c>
      <c r="E24" s="173" t="s">
        <v>101</v>
      </c>
      <c r="F24" s="174">
        <v>55</v>
      </c>
      <c r="G24" s="174" t="s">
        <v>121</v>
      </c>
      <c r="H24" s="174">
        <v>26.6</v>
      </c>
      <c r="I24" s="174">
        <v>26.48</v>
      </c>
      <c r="J24" s="173">
        <v>9</v>
      </c>
      <c r="K24" s="173" t="s">
        <v>115</v>
      </c>
      <c r="L24" s="173" t="s">
        <v>104</v>
      </c>
      <c r="M24" s="173">
        <v>5</v>
      </c>
      <c r="N24" s="173">
        <v>16</v>
      </c>
      <c r="O24" s="173" t="s">
        <v>105</v>
      </c>
    </row>
    <row r="25" spans="1:15" x14ac:dyDescent="0.35">
      <c r="A25" s="175" t="s">
        <v>157</v>
      </c>
      <c r="B25" s="176"/>
      <c r="C25" s="26" t="s">
        <v>158</v>
      </c>
      <c r="D25" s="173" t="s">
        <v>156</v>
      </c>
      <c r="E25" s="173" t="s">
        <v>101</v>
      </c>
      <c r="F25" s="173">
        <v>27</v>
      </c>
      <c r="G25" s="173" t="s">
        <v>121</v>
      </c>
      <c r="H25" s="173">
        <v>37.200000000000003</v>
      </c>
      <c r="I25" s="173">
        <v>22.8</v>
      </c>
      <c r="J25" s="173">
        <v>20</v>
      </c>
      <c r="K25" s="173" t="s">
        <v>142</v>
      </c>
      <c r="L25" s="173" t="s">
        <v>101</v>
      </c>
      <c r="M25" s="173">
        <v>4</v>
      </c>
      <c r="N25" s="173">
        <v>25</v>
      </c>
      <c r="O25" s="173" t="s">
        <v>116</v>
      </c>
    </row>
    <row r="26" spans="1:15" x14ac:dyDescent="0.35">
      <c r="A26" s="175" t="s">
        <v>159</v>
      </c>
      <c r="B26" s="176"/>
      <c r="C26" s="26" t="s">
        <v>160</v>
      </c>
      <c r="D26" s="173" t="s">
        <v>156</v>
      </c>
      <c r="E26" s="173" t="s">
        <v>101</v>
      </c>
      <c r="F26" s="173">
        <v>62</v>
      </c>
      <c r="G26" s="173" t="s">
        <v>121</v>
      </c>
      <c r="H26" s="173">
        <v>26.9</v>
      </c>
      <c r="I26" s="173">
        <v>8.35</v>
      </c>
      <c r="J26" s="173">
        <v>25</v>
      </c>
      <c r="K26" s="173" t="s">
        <v>103</v>
      </c>
      <c r="L26" s="173" t="s">
        <v>101</v>
      </c>
      <c r="M26" s="173">
        <v>2</v>
      </c>
      <c r="N26" s="173">
        <v>50</v>
      </c>
      <c r="O26" s="173" t="s">
        <v>108</v>
      </c>
    </row>
    <row r="27" spans="1:15" x14ac:dyDescent="0.35">
      <c r="A27" s="175" t="s">
        <v>161</v>
      </c>
      <c r="B27" s="176"/>
      <c r="C27" s="26" t="s">
        <v>162</v>
      </c>
      <c r="D27" s="173" t="s">
        <v>156</v>
      </c>
      <c r="E27" s="173" t="s">
        <v>101</v>
      </c>
      <c r="F27" s="173">
        <v>36</v>
      </c>
      <c r="G27" s="173" t="s">
        <v>121</v>
      </c>
      <c r="H27" s="173">
        <v>27.8</v>
      </c>
      <c r="I27" s="173">
        <v>12.9</v>
      </c>
      <c r="J27" s="173">
        <v>103</v>
      </c>
      <c r="K27" s="173" t="s">
        <v>115</v>
      </c>
      <c r="L27" s="173" t="s">
        <v>104</v>
      </c>
      <c r="M27" s="173">
        <v>16</v>
      </c>
      <c r="N27" s="173">
        <v>24</v>
      </c>
      <c r="O27" s="173" t="s">
        <v>116</v>
      </c>
    </row>
    <row r="28" spans="1:15" x14ac:dyDescent="0.35">
      <c r="A28" s="175" t="s">
        <v>163</v>
      </c>
      <c r="B28" s="176"/>
      <c r="C28" s="26" t="s">
        <v>164</v>
      </c>
      <c r="D28" s="173" t="s">
        <v>156</v>
      </c>
      <c r="E28" s="173" t="s">
        <v>101</v>
      </c>
      <c r="F28" s="173">
        <v>54</v>
      </c>
      <c r="G28" s="173" t="s">
        <v>102</v>
      </c>
      <c r="H28" s="173">
        <v>39</v>
      </c>
      <c r="I28" s="173">
        <v>3.97</v>
      </c>
      <c r="J28" s="173" t="s">
        <v>31</v>
      </c>
      <c r="K28" s="173" t="s">
        <v>103</v>
      </c>
      <c r="L28" s="173" t="s">
        <v>101</v>
      </c>
      <c r="M28" s="173">
        <v>31</v>
      </c>
      <c r="N28" s="173">
        <v>44</v>
      </c>
      <c r="O28" s="173" t="s">
        <v>108</v>
      </c>
    </row>
    <row r="29" spans="1:15" x14ac:dyDescent="0.35">
      <c r="A29" s="175" t="s">
        <v>165</v>
      </c>
      <c r="B29" s="176"/>
      <c r="C29" s="26" t="s">
        <v>166</v>
      </c>
      <c r="D29" s="173" t="s">
        <v>156</v>
      </c>
      <c r="E29" s="173" t="s">
        <v>101</v>
      </c>
      <c r="F29" s="173">
        <v>56</v>
      </c>
      <c r="G29" s="173" t="s">
        <v>102</v>
      </c>
      <c r="H29" s="173">
        <v>27.5</v>
      </c>
      <c r="I29" s="173">
        <v>18.600000000000001</v>
      </c>
      <c r="J29" s="173">
        <v>32</v>
      </c>
      <c r="K29" s="173" t="s">
        <v>167</v>
      </c>
      <c r="L29" s="173" t="s">
        <v>101</v>
      </c>
      <c r="M29" s="173">
        <v>10</v>
      </c>
      <c r="N29" s="173">
        <v>31</v>
      </c>
      <c r="O29" s="173" t="s">
        <v>108</v>
      </c>
    </row>
    <row r="30" spans="1:15" x14ac:dyDescent="0.35">
      <c r="A30" s="175" t="s">
        <v>168</v>
      </c>
      <c r="B30" s="176"/>
      <c r="C30" s="26" t="s">
        <v>169</v>
      </c>
      <c r="D30" s="173" t="s">
        <v>156</v>
      </c>
      <c r="E30" s="173" t="s">
        <v>101</v>
      </c>
      <c r="F30" s="173">
        <v>59</v>
      </c>
      <c r="G30" s="173" t="s">
        <v>121</v>
      </c>
      <c r="H30" s="173">
        <v>18.8</v>
      </c>
      <c r="I30" s="173">
        <v>4.4800000000000004</v>
      </c>
      <c r="J30" s="173">
        <v>63</v>
      </c>
      <c r="K30" s="173" t="s">
        <v>115</v>
      </c>
      <c r="L30" s="173" t="s">
        <v>104</v>
      </c>
      <c r="M30" s="173">
        <v>1</v>
      </c>
      <c r="N30" s="173">
        <v>39</v>
      </c>
      <c r="O30" s="173" t="s">
        <v>108</v>
      </c>
    </row>
    <row r="31" spans="1:15" x14ac:dyDescent="0.35">
      <c r="A31" s="175" t="s">
        <v>170</v>
      </c>
      <c r="B31" s="176"/>
      <c r="C31" s="26" t="s">
        <v>171</v>
      </c>
      <c r="D31" s="173" t="s">
        <v>156</v>
      </c>
      <c r="E31" s="173" t="s">
        <v>101</v>
      </c>
      <c r="F31" s="173">
        <v>32</v>
      </c>
      <c r="G31" s="173" t="s">
        <v>121</v>
      </c>
      <c r="H31" s="173">
        <v>22.2</v>
      </c>
      <c r="I31" s="173">
        <v>4.12</v>
      </c>
      <c r="J31" s="173">
        <v>75</v>
      </c>
      <c r="K31" s="173" t="s">
        <v>103</v>
      </c>
      <c r="L31" s="173" t="s">
        <v>101</v>
      </c>
      <c r="M31" s="173">
        <v>9</v>
      </c>
      <c r="N31" s="173">
        <v>25</v>
      </c>
      <c r="O31" s="173" t="s">
        <v>116</v>
      </c>
    </row>
    <row r="32" spans="1:15" x14ac:dyDescent="0.35">
      <c r="A32" s="175" t="s">
        <v>172</v>
      </c>
      <c r="B32" s="176"/>
      <c r="C32" s="26" t="s">
        <v>173</v>
      </c>
      <c r="D32" s="173" t="s">
        <v>156</v>
      </c>
      <c r="E32" s="173" t="s">
        <v>101</v>
      </c>
      <c r="F32" s="173">
        <v>42</v>
      </c>
      <c r="G32" s="173" t="s">
        <v>121</v>
      </c>
      <c r="H32" s="173">
        <v>33</v>
      </c>
      <c r="I32" s="173">
        <v>7.58</v>
      </c>
      <c r="J32" s="173">
        <v>89</v>
      </c>
      <c r="K32" s="173" t="s">
        <v>103</v>
      </c>
      <c r="L32" s="173" t="s">
        <v>101</v>
      </c>
      <c r="M32" s="173">
        <v>2</v>
      </c>
      <c r="N32" s="173">
        <v>50</v>
      </c>
      <c r="O32" s="173" t="s">
        <v>108</v>
      </c>
    </row>
    <row r="33" spans="1:15" x14ac:dyDescent="0.35">
      <c r="A33" s="177"/>
      <c r="B33" s="176"/>
      <c r="C33" s="14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</row>
    <row r="34" spans="1:15" x14ac:dyDescent="0.35">
      <c r="B34" s="179" t="s">
        <v>174</v>
      </c>
      <c r="C34" s="32" t="s">
        <v>175</v>
      </c>
      <c r="D34" s="180"/>
      <c r="E34" s="180"/>
      <c r="F34" s="181">
        <f>AVERAGE(F3:F17)</f>
        <v>51.133333333333333</v>
      </c>
      <c r="G34" s="180"/>
      <c r="H34" s="182">
        <f>AVERAGE(H3:H17)</f>
        <v>26.986666666666668</v>
      </c>
      <c r="I34" s="183">
        <f>AVERAGE(I3:I17)</f>
        <v>15.291999999999998</v>
      </c>
      <c r="J34" s="180"/>
      <c r="K34" s="180"/>
      <c r="L34" s="180"/>
      <c r="M34" s="182">
        <f>AVERAGE(M3:M17)</f>
        <v>2.8</v>
      </c>
      <c r="N34" s="184"/>
      <c r="O34" s="180"/>
    </row>
    <row r="35" spans="1:15" x14ac:dyDescent="0.35">
      <c r="B35" s="179"/>
      <c r="C35" s="32" t="s">
        <v>176</v>
      </c>
      <c r="D35" s="180"/>
      <c r="E35" s="180"/>
      <c r="F35" s="185" t="s">
        <v>177</v>
      </c>
      <c r="G35" s="180"/>
      <c r="H35" s="185" t="s">
        <v>178</v>
      </c>
      <c r="I35" s="185" t="s">
        <v>179</v>
      </c>
      <c r="J35" s="180"/>
      <c r="K35" s="180"/>
      <c r="L35" s="180"/>
      <c r="M35" s="186" t="s">
        <v>180</v>
      </c>
      <c r="N35" s="180"/>
      <c r="O35" s="180"/>
    </row>
    <row r="36" spans="1:15" ht="45" customHeight="1" x14ac:dyDescent="0.35">
      <c r="B36" s="179"/>
      <c r="C36" s="32" t="s">
        <v>181</v>
      </c>
      <c r="D36" s="180"/>
      <c r="E36" s="187"/>
      <c r="F36" s="180"/>
      <c r="G36" s="188" t="s">
        <v>182</v>
      </c>
      <c r="H36" s="180"/>
      <c r="I36" s="180"/>
      <c r="J36" s="180"/>
      <c r="K36" s="185" t="s">
        <v>183</v>
      </c>
      <c r="L36" s="188" t="s">
        <v>184</v>
      </c>
      <c r="M36" s="180"/>
      <c r="N36" s="180"/>
      <c r="O36" s="180"/>
    </row>
    <row r="37" spans="1:15" x14ac:dyDescent="0.35">
      <c r="B37" s="179" t="s">
        <v>185</v>
      </c>
      <c r="C37" s="32" t="s">
        <v>175</v>
      </c>
      <c r="D37" s="180"/>
      <c r="E37" s="180"/>
      <c r="F37" s="181">
        <f>AVERAGE(F18:F20)</f>
        <v>43.666666666666664</v>
      </c>
      <c r="G37" s="180"/>
      <c r="H37" s="182">
        <f>AVERAGE(H18:H20)</f>
        <v>23.833333333333332</v>
      </c>
      <c r="I37" s="183">
        <f>AVERAGE(I18:I20)</f>
        <v>6.2866666666666662</v>
      </c>
      <c r="J37" s="180"/>
      <c r="K37" s="180"/>
      <c r="L37" s="180"/>
      <c r="M37" s="182">
        <f>AVERAGE(M18:M20)</f>
        <v>2.3333333333333335</v>
      </c>
      <c r="N37" s="184"/>
      <c r="O37" s="180"/>
    </row>
    <row r="38" spans="1:15" x14ac:dyDescent="0.35">
      <c r="B38" s="179"/>
      <c r="C38" s="32" t="s">
        <v>176</v>
      </c>
      <c r="D38" s="180"/>
      <c r="E38" s="180"/>
      <c r="F38" s="185" t="s">
        <v>186</v>
      </c>
      <c r="G38" s="180"/>
      <c r="H38" s="185" t="s">
        <v>187</v>
      </c>
      <c r="I38" s="185" t="s">
        <v>188</v>
      </c>
      <c r="J38" s="180"/>
      <c r="K38" s="180"/>
      <c r="L38" s="180"/>
      <c r="M38" s="186" t="s">
        <v>189</v>
      </c>
      <c r="N38" s="180"/>
      <c r="O38" s="180"/>
    </row>
    <row r="39" spans="1:15" ht="45" customHeight="1" x14ac:dyDescent="0.35">
      <c r="B39" s="179"/>
      <c r="C39" s="32" t="s">
        <v>181</v>
      </c>
      <c r="D39" s="180"/>
      <c r="E39" s="187"/>
      <c r="F39" s="180"/>
      <c r="G39" s="188" t="s">
        <v>190</v>
      </c>
      <c r="H39" s="180"/>
      <c r="I39" s="180"/>
      <c r="J39" s="180"/>
      <c r="K39" s="185" t="s">
        <v>191</v>
      </c>
      <c r="L39" s="188" t="s">
        <v>192</v>
      </c>
      <c r="M39" s="180"/>
      <c r="N39" s="180"/>
      <c r="O39" s="180"/>
    </row>
    <row r="40" spans="1:15" x14ac:dyDescent="0.35">
      <c r="B40" s="179" t="s">
        <v>193</v>
      </c>
      <c r="C40" s="32" t="s">
        <v>175</v>
      </c>
      <c r="D40" s="180"/>
      <c r="E40" s="180"/>
      <c r="F40" s="181">
        <f>AVERAGE(F21:F23)</f>
        <v>68</v>
      </c>
      <c r="G40" s="180"/>
      <c r="H40" s="182">
        <f>AVERAGE(H21:H23)</f>
        <v>32.099999999999994</v>
      </c>
      <c r="I40" s="183">
        <f>AVERAGE(I21:I23)</f>
        <v>6.0966666666666676</v>
      </c>
      <c r="J40" s="180"/>
      <c r="K40" s="180"/>
      <c r="L40" s="180"/>
      <c r="M40" s="182">
        <f>AVERAGE(M21:M23)</f>
        <v>4.333333333333333</v>
      </c>
      <c r="N40" s="184"/>
      <c r="O40" s="180"/>
    </row>
    <row r="41" spans="1:15" x14ac:dyDescent="0.35">
      <c r="B41" s="179"/>
      <c r="C41" s="32" t="s">
        <v>176</v>
      </c>
      <c r="D41" s="180"/>
      <c r="E41" s="180"/>
      <c r="F41" s="185" t="s">
        <v>194</v>
      </c>
      <c r="G41" s="180"/>
      <c r="H41" s="185" t="s">
        <v>195</v>
      </c>
      <c r="I41" s="185" t="s">
        <v>196</v>
      </c>
      <c r="J41" s="180"/>
      <c r="K41" s="180"/>
      <c r="L41" s="180"/>
      <c r="M41" s="186" t="s">
        <v>197</v>
      </c>
      <c r="N41" s="180"/>
      <c r="O41" s="180"/>
    </row>
    <row r="42" spans="1:15" ht="45" customHeight="1" x14ac:dyDescent="0.35">
      <c r="B42" s="179"/>
      <c r="C42" s="32" t="s">
        <v>181</v>
      </c>
      <c r="D42" s="180"/>
      <c r="E42" s="187"/>
      <c r="F42" s="180"/>
      <c r="G42" s="188" t="s">
        <v>190</v>
      </c>
      <c r="H42" s="180"/>
      <c r="I42" s="180"/>
      <c r="J42" s="180"/>
      <c r="K42" s="185" t="s">
        <v>198</v>
      </c>
      <c r="L42" s="188" t="s">
        <v>192</v>
      </c>
      <c r="M42" s="180"/>
      <c r="N42" s="180"/>
      <c r="O42" s="180"/>
    </row>
    <row r="43" spans="1:15" x14ac:dyDescent="0.35">
      <c r="B43" s="179" t="s">
        <v>199</v>
      </c>
      <c r="C43" s="32" t="s">
        <v>175</v>
      </c>
      <c r="D43" s="180"/>
      <c r="E43" s="180"/>
      <c r="F43" s="181">
        <f>AVERAGE(F3:F23)</f>
        <v>52.476190476190474</v>
      </c>
      <c r="G43" s="180"/>
      <c r="H43" s="182">
        <f>AVERAGE(H3:H23)</f>
        <v>27.266666666666669</v>
      </c>
      <c r="I43" s="183">
        <f>AVERAGE(I3:I17)</f>
        <v>15.291999999999998</v>
      </c>
      <c r="J43" s="180"/>
      <c r="K43" s="180"/>
      <c r="L43" s="180"/>
      <c r="M43" s="182">
        <f>AVERAGE(M3:M23)</f>
        <v>2.9523809523809526</v>
      </c>
      <c r="N43" s="184"/>
      <c r="O43" s="180"/>
    </row>
    <row r="44" spans="1:15" x14ac:dyDescent="0.35">
      <c r="B44" s="179"/>
      <c r="C44" s="32" t="s">
        <v>176</v>
      </c>
      <c r="D44" s="180"/>
      <c r="E44" s="180"/>
      <c r="F44" s="185" t="s">
        <v>177</v>
      </c>
      <c r="G44" s="180"/>
      <c r="H44" s="185" t="s">
        <v>200</v>
      </c>
      <c r="I44" s="185" t="s">
        <v>179</v>
      </c>
      <c r="J44" s="180"/>
      <c r="K44" s="180"/>
      <c r="L44" s="180"/>
      <c r="M44" s="186" t="s">
        <v>201</v>
      </c>
      <c r="N44" s="180"/>
      <c r="O44" s="180"/>
    </row>
    <row r="45" spans="1:15" ht="45" customHeight="1" x14ac:dyDescent="0.35">
      <c r="B45" s="179"/>
      <c r="C45" s="32" t="s">
        <v>181</v>
      </c>
      <c r="D45" s="180"/>
      <c r="E45" s="189" t="s">
        <v>202</v>
      </c>
      <c r="F45" s="180"/>
      <c r="G45" s="188" t="s">
        <v>203</v>
      </c>
      <c r="H45" s="180"/>
      <c r="I45" s="180"/>
      <c r="J45" s="180"/>
      <c r="K45" s="185" t="s">
        <v>204</v>
      </c>
      <c r="L45" s="188" t="s">
        <v>205</v>
      </c>
      <c r="M45" s="180"/>
      <c r="N45" s="180"/>
      <c r="O45" s="180"/>
    </row>
    <row r="46" spans="1:15" x14ac:dyDescent="0.35">
      <c r="B46" s="179" t="s">
        <v>206</v>
      </c>
      <c r="C46" s="32" t="s">
        <v>175</v>
      </c>
      <c r="D46" s="180"/>
      <c r="E46" s="180"/>
      <c r="F46" s="181">
        <f>AVERAGE(F24:F32)</f>
        <v>47</v>
      </c>
      <c r="G46" s="180"/>
      <c r="H46" s="182">
        <f>AVERAGE(H24:H32)</f>
        <v>28.777777777777779</v>
      </c>
      <c r="I46" s="183">
        <f>AVERAGE(I24:I32)</f>
        <v>12.142222222222223</v>
      </c>
      <c r="J46" s="185">
        <f>AVERAGE(J24:J32)</f>
        <v>52</v>
      </c>
      <c r="K46" s="180"/>
      <c r="L46" s="180"/>
      <c r="M46" s="182">
        <f>AVERAGE(M24:M32)</f>
        <v>8.8888888888888893</v>
      </c>
      <c r="N46" s="184"/>
      <c r="O46" s="180"/>
    </row>
    <row r="47" spans="1:15" x14ac:dyDescent="0.35">
      <c r="B47" s="179"/>
      <c r="C47" s="32" t="s">
        <v>176</v>
      </c>
      <c r="D47" s="180"/>
      <c r="E47" s="180"/>
      <c r="F47" s="185" t="s">
        <v>207</v>
      </c>
      <c r="G47" s="180"/>
      <c r="H47" s="185" t="s">
        <v>208</v>
      </c>
      <c r="I47" s="185" t="s">
        <v>209</v>
      </c>
      <c r="J47" s="185" t="s">
        <v>210</v>
      </c>
      <c r="K47" s="180"/>
      <c r="L47" s="180"/>
      <c r="M47" s="186" t="s">
        <v>211</v>
      </c>
      <c r="N47" s="180"/>
      <c r="O47" s="180"/>
    </row>
    <row r="48" spans="1:15" ht="45" customHeight="1" x14ac:dyDescent="0.35">
      <c r="B48" s="179"/>
      <c r="C48" s="32" t="s">
        <v>181</v>
      </c>
      <c r="D48" s="180"/>
      <c r="E48" s="189" t="s">
        <v>212</v>
      </c>
      <c r="F48" s="180"/>
      <c r="G48" s="188" t="s">
        <v>213</v>
      </c>
      <c r="H48" s="180"/>
      <c r="I48" s="180"/>
      <c r="J48" s="180"/>
      <c r="K48" s="185" t="s">
        <v>214</v>
      </c>
      <c r="L48" s="188" t="s">
        <v>215</v>
      </c>
      <c r="M48" s="180"/>
      <c r="N48" s="180"/>
      <c r="O48" s="180"/>
    </row>
  </sheetData>
  <mergeCells count="5">
    <mergeCell ref="B34:B36"/>
    <mergeCell ref="B37:B39"/>
    <mergeCell ref="B40:B42"/>
    <mergeCell ref="B43:B45"/>
    <mergeCell ref="B46:B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 data</vt:lpstr>
      <vt:lpstr>exocrine scores</vt:lpstr>
      <vt:lpstr>isolated islets raw data</vt:lpstr>
      <vt:lpstr>data by specimen</vt:lpstr>
      <vt:lpstr>donor table</vt:lpstr>
    </vt:vector>
  </TitlesOfParts>
  <Company>Newcastle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Dyson</dc:creator>
  <cp:lastModifiedBy>Nicola Dyson</cp:lastModifiedBy>
  <dcterms:created xsi:type="dcterms:W3CDTF">2021-11-08T14:46:30Z</dcterms:created>
  <dcterms:modified xsi:type="dcterms:W3CDTF">2021-11-08T16:00:04Z</dcterms:modified>
</cp:coreProperties>
</file>