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newcastle-my.sharepoint.com/personal/ndw19_newcastle_ac_uk/Documents/Documents/Jiaqian Paper/PaperSubmissionSoilUseManagement/Revised_Final/FinalFinal/"/>
    </mc:Choice>
  </mc:AlternateContent>
  <xr:revisionPtr revIDLastSave="13" documentId="13_ncr:1_{C7A1C77D-BDD2-4BB5-949F-7039F3B4FF1E}" xr6:coauthVersionLast="46" xr6:coauthVersionMax="47" xr10:uidLastSave="{41263CC6-70C6-4E24-A2CE-7BA46D78049C}"/>
  <bookViews>
    <workbookView xWindow="-108" yWindow="-108" windowWidth="23256" windowHeight="12576" activeTab="7" xr2:uid="{00000000-000D-0000-FFFF-FFFF00000000}"/>
  </bookViews>
  <sheets>
    <sheet name="Table 1" sheetId="3" r:id="rId1"/>
    <sheet name="Table 2" sheetId="4" r:id="rId2"/>
    <sheet name="Figure 2" sheetId="2" r:id="rId3"/>
    <sheet name="Table 3" sheetId="5" r:id="rId4"/>
    <sheet name="Scenario 1" sheetId="6" r:id="rId5"/>
    <sheet name="Scenario 2" sheetId="7" r:id="rId6"/>
    <sheet name="Scenario 3" sheetId="8" r:id="rId7"/>
    <sheet name="Scenario 4" sheetId="9"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5" l="1"/>
  <c r="D27" i="5"/>
  <c r="C21" i="5"/>
  <c r="D21" i="5"/>
  <c r="C22" i="5"/>
  <c r="D22" i="5"/>
  <c r="C23" i="5"/>
  <c r="D23" i="5"/>
  <c r="C24" i="5"/>
  <c r="D24" i="5"/>
  <c r="C25" i="5"/>
  <c r="D25" i="5"/>
  <c r="C26" i="5"/>
  <c r="D26" i="5"/>
  <c r="I12" i="9" l="1"/>
  <c r="H12" i="9"/>
  <c r="H14" i="3" l="1"/>
  <c r="D20" i="4"/>
  <c r="D19" i="4"/>
  <c r="E25" i="6"/>
  <c r="D23" i="6"/>
  <c r="D19" i="6"/>
  <c r="L5" i="5"/>
  <c r="L4" i="5"/>
  <c r="D25" i="2"/>
  <c r="D30" i="2"/>
  <c r="D23" i="9"/>
  <c r="E20" i="9"/>
  <c r="D19" i="9"/>
  <c r="F15" i="9"/>
  <c r="F14" i="9"/>
  <c r="F13" i="9"/>
  <c r="F12" i="9"/>
  <c r="G11" i="9"/>
  <c r="F11" i="9"/>
  <c r="E23" i="9"/>
  <c r="E22" i="9"/>
  <c r="E21" i="9"/>
  <c r="D20" i="9"/>
  <c r="F20" i="9" s="1"/>
  <c r="E19" i="9"/>
  <c r="E18" i="9"/>
  <c r="E17" i="9"/>
  <c r="E23" i="8"/>
  <c r="D23" i="8"/>
  <c r="F23" i="8" s="1"/>
  <c r="D22" i="8"/>
  <c r="E20" i="8"/>
  <c r="E19" i="8"/>
  <c r="D19" i="8"/>
  <c r="D18" i="8"/>
  <c r="F15" i="8"/>
  <c r="F14" i="8"/>
  <c r="F13" i="8"/>
  <c r="H12" i="8"/>
  <c r="G12" i="8"/>
  <c r="F12" i="8"/>
  <c r="H11" i="8"/>
  <c r="G11" i="8"/>
  <c r="F11" i="8"/>
  <c r="E22" i="8"/>
  <c r="E21" i="8"/>
  <c r="D21" i="8"/>
  <c r="F21" i="8" s="1"/>
  <c r="D20" i="8"/>
  <c r="F20" i="8" s="1"/>
  <c r="E18" i="8"/>
  <c r="E17" i="8"/>
  <c r="E25" i="8" s="1"/>
  <c r="D17" i="8"/>
  <c r="D21" i="7"/>
  <c r="E18" i="7"/>
  <c r="D17" i="7"/>
  <c r="F17" i="7" s="1"/>
  <c r="F15" i="7"/>
  <c r="F14" i="7"/>
  <c r="G13" i="7"/>
  <c r="F13" i="7"/>
  <c r="F12" i="7"/>
  <c r="F11" i="7"/>
  <c r="E23" i="7"/>
  <c r="D23" i="7"/>
  <c r="F23" i="7" s="1"/>
  <c r="E21" i="7"/>
  <c r="E20" i="7"/>
  <c r="D20" i="7"/>
  <c r="E19" i="7"/>
  <c r="D19" i="7"/>
  <c r="E17" i="7"/>
  <c r="E21" i="6"/>
  <c r="D20" i="6"/>
  <c r="E17" i="6"/>
  <c r="F15" i="6"/>
  <c r="F14" i="6"/>
  <c r="F13" i="6"/>
  <c r="F12" i="6"/>
  <c r="F11" i="6"/>
  <c r="E23" i="6"/>
  <c r="E22" i="6"/>
  <c r="D21" i="6"/>
  <c r="E20" i="6"/>
  <c r="E19" i="6"/>
  <c r="E18" i="6"/>
  <c r="D18" i="6"/>
  <c r="F18" i="6" s="1"/>
  <c r="D17" i="6"/>
  <c r="L12" i="5"/>
  <c r="E23" i="3"/>
  <c r="D23" i="3"/>
  <c r="F23" i="3" s="1"/>
  <c r="F15" i="3"/>
  <c r="F14" i="3"/>
  <c r="F13" i="3"/>
  <c r="H12" i="3"/>
  <c r="F12" i="3"/>
  <c r="H11" i="3"/>
  <c r="F11" i="3"/>
  <c r="N10" i="3"/>
  <c r="P10" i="3" s="1"/>
  <c r="F9" i="3"/>
  <c r="D8" i="3"/>
  <c r="N8" i="3" s="1"/>
  <c r="P8" i="3" s="1"/>
  <c r="E7" i="3"/>
  <c r="D7" i="3"/>
  <c r="E6" i="3"/>
  <c r="E20" i="3" s="1"/>
  <c r="D6" i="3"/>
  <c r="F6" i="3" s="1"/>
  <c r="E5" i="3"/>
  <c r="E19" i="3" s="1"/>
  <c r="D5" i="3"/>
  <c r="E4" i="3"/>
  <c r="D4" i="3"/>
  <c r="D18" i="3" s="1"/>
  <c r="E3" i="3"/>
  <c r="E17" i="3" s="1"/>
  <c r="D3" i="3"/>
  <c r="J11" i="3" s="1"/>
  <c r="I46" i="2"/>
  <c r="M43" i="2"/>
  <c r="M46" i="2" s="1"/>
  <c r="L43" i="2"/>
  <c r="I43" i="2"/>
  <c r="H43" i="2"/>
  <c r="H46" i="2" s="1"/>
  <c r="E43" i="2"/>
  <c r="E46" i="2" s="1"/>
  <c r="D43" i="2"/>
  <c r="M42" i="2"/>
  <c r="L42" i="2"/>
  <c r="L46" i="2" s="1"/>
  <c r="I42" i="2"/>
  <c r="H42" i="2"/>
  <c r="E42" i="2"/>
  <c r="D42" i="2"/>
  <c r="D46" i="2" s="1"/>
  <c r="O46" i="2" s="1"/>
  <c r="M41" i="2"/>
  <c r="L41" i="2"/>
  <c r="I41" i="2"/>
  <c r="H41" i="2"/>
  <c r="E41" i="2"/>
  <c r="D41" i="2"/>
  <c r="M40" i="2"/>
  <c r="M45" i="2" s="1"/>
  <c r="L40" i="2"/>
  <c r="L45" i="2" s="1"/>
  <c r="I40" i="2"/>
  <c r="I45" i="2" s="1"/>
  <c r="H40" i="2"/>
  <c r="H45" i="2" s="1"/>
  <c r="E40" i="2"/>
  <c r="E45" i="2" s="1"/>
  <c r="D40" i="2"/>
  <c r="D45" i="2" s="1"/>
  <c r="I31" i="2"/>
  <c r="M28" i="2"/>
  <c r="M31" i="2" s="1"/>
  <c r="L28" i="2"/>
  <c r="L31" i="2" s="1"/>
  <c r="I28" i="2"/>
  <c r="H28" i="2"/>
  <c r="E28" i="2"/>
  <c r="E31" i="2" s="1"/>
  <c r="D28" i="2"/>
  <c r="D31" i="2" s="1"/>
  <c r="O31" i="2" s="1"/>
  <c r="M27" i="2"/>
  <c r="L27" i="2"/>
  <c r="I27" i="2"/>
  <c r="H27" i="2"/>
  <c r="H31" i="2" s="1"/>
  <c r="E27" i="2"/>
  <c r="D27" i="2"/>
  <c r="M26" i="2"/>
  <c r="L26" i="2"/>
  <c r="I26" i="2"/>
  <c r="H26" i="2"/>
  <c r="E26" i="2"/>
  <c r="D26" i="2"/>
  <c r="M25" i="2"/>
  <c r="M30" i="2" s="1"/>
  <c r="L25" i="2"/>
  <c r="L30" i="2" s="1"/>
  <c r="I25" i="2"/>
  <c r="I30" i="2" s="1"/>
  <c r="H25" i="2"/>
  <c r="H30" i="2" s="1"/>
  <c r="E25" i="2"/>
  <c r="E30" i="2" s="1"/>
  <c r="F3" i="3" l="1"/>
  <c r="D19" i="3"/>
  <c r="F19" i="3" s="1"/>
  <c r="G7" i="3"/>
  <c r="N6" i="3"/>
  <c r="P6" i="3" s="1"/>
  <c r="N3" i="3"/>
  <c r="P3" i="3" s="1"/>
  <c r="N7" i="3"/>
  <c r="P7" i="3" s="1"/>
  <c r="E21" i="3"/>
  <c r="H7" i="3"/>
  <c r="F19" i="8"/>
  <c r="F20" i="7"/>
  <c r="F21" i="6"/>
  <c r="D17" i="3"/>
  <c r="F17" i="3" s="1"/>
  <c r="F4" i="3"/>
  <c r="F7" i="3"/>
  <c r="F23" i="6"/>
  <c r="F19" i="9"/>
  <c r="F17" i="6"/>
  <c r="F21" i="7"/>
  <c r="F18" i="8"/>
  <c r="F22" i="8"/>
  <c r="E25" i="9"/>
  <c r="F20" i="6"/>
  <c r="F19" i="7"/>
  <c r="D25" i="8"/>
  <c r="F17" i="8"/>
  <c r="F23" i="9"/>
  <c r="D18" i="7"/>
  <c r="F18" i="7" s="1"/>
  <c r="D22" i="7"/>
  <c r="D18" i="9"/>
  <c r="F18" i="9" s="1"/>
  <c r="D22" i="9"/>
  <c r="F22" i="9" s="1"/>
  <c r="D25" i="7"/>
  <c r="D17" i="9"/>
  <c r="D21" i="9"/>
  <c r="F21" i="9" s="1"/>
  <c r="F19" i="6"/>
  <c r="E22" i="7"/>
  <c r="E25" i="7" s="1"/>
  <c r="D22" i="6"/>
  <c r="F22" i="6" s="1"/>
  <c r="E18" i="3"/>
  <c r="D22" i="3"/>
  <c r="N4" i="3"/>
  <c r="P4" i="3" s="1"/>
  <c r="F5" i="3"/>
  <c r="F8" i="3"/>
  <c r="D20" i="3"/>
  <c r="F20" i="3" s="1"/>
  <c r="D21" i="3"/>
  <c r="F21" i="3" s="1"/>
  <c r="E22" i="3"/>
  <c r="N5" i="3"/>
  <c r="P5" i="3" s="1"/>
  <c r="O30" i="2"/>
  <c r="O45" i="2"/>
  <c r="E25" i="3" l="1"/>
  <c r="D25" i="3"/>
  <c r="F18" i="3"/>
  <c r="F29" i="3" s="1"/>
  <c r="D25" i="9"/>
  <c r="F17" i="9"/>
  <c r="F25" i="9" s="1"/>
  <c r="F25" i="8"/>
  <c r="F22" i="7"/>
  <c r="F25" i="7" s="1"/>
  <c r="F25" i="6"/>
  <c r="D25" i="6"/>
  <c r="F22" i="3"/>
  <c r="F25" i="3" l="1"/>
  <c r="F27" i="3"/>
  <c r="G22" i="3"/>
  <c r="F30" i="3"/>
  <c r="D29" i="8" l="1"/>
  <c r="D30" i="8" s="1"/>
  <c r="D31" i="8" s="1"/>
  <c r="D29" i="7"/>
  <c r="D30" i="7" s="1"/>
  <c r="D31" i="7" s="1"/>
  <c r="D29" i="6"/>
  <c r="D30" i="6" s="1"/>
  <c r="D31" i="6" s="1"/>
  <c r="D29" i="9"/>
  <c r="D30" i="9" s="1"/>
  <c r="G24" i="3"/>
  <c r="G20" i="3"/>
  <c r="G18" i="3"/>
</calcChain>
</file>

<file path=xl/sharedStrings.xml><?xml version="1.0" encoding="utf-8"?>
<sst xmlns="http://schemas.openxmlformats.org/spreadsheetml/2006/main" count="545" uniqueCount="146">
  <si>
    <t>Figure 2 is produced based on Table 2</t>
  </si>
  <si>
    <t>Soil carbon Kg/m3</t>
  </si>
  <si>
    <t>pH</t>
  </si>
  <si>
    <t>0-30 cm</t>
  </si>
  <si>
    <t>30-60 cm</t>
  </si>
  <si>
    <t>60-90 cm</t>
  </si>
  <si>
    <t>Total soil carbon</t>
  </si>
  <si>
    <t>Land use</t>
  </si>
  <si>
    <t>Sample number</t>
  </si>
  <si>
    <t>TC</t>
  </si>
  <si>
    <t>TOC</t>
  </si>
  <si>
    <t>Mean</t>
  </si>
  <si>
    <t>SD</t>
  </si>
  <si>
    <t>CPF</t>
  </si>
  <si>
    <t>Coniferous woodland</t>
  </si>
  <si>
    <t>Broadleaved woodland</t>
  </si>
  <si>
    <t>Long established woodland</t>
  </si>
  <si>
    <t>Recently established woodland</t>
  </si>
  <si>
    <t>NF</t>
  </si>
  <si>
    <t>n.a.</t>
  </si>
  <si>
    <t>Conventional</t>
  </si>
  <si>
    <t>Organic</t>
  </si>
  <si>
    <t>hectares</t>
  </si>
  <si>
    <t>Land area coniferous woodlands</t>
  </si>
  <si>
    <t>Land area broadleaved woodlands</t>
  </si>
  <si>
    <t xml:space="preserve">Mean </t>
  </si>
  <si>
    <t>tonnes</t>
  </si>
  <si>
    <t>thousand tonnes</t>
  </si>
  <si>
    <t>Unit</t>
  </si>
  <si>
    <t>Rural estate</t>
  </si>
  <si>
    <t>Total carbon</t>
  </si>
  <si>
    <t>Carbon storage per hectare</t>
  </si>
  <si>
    <t>Carbon storage</t>
  </si>
  <si>
    <t>kg/m2</t>
  </si>
  <si>
    <t>tonnes/ha</t>
  </si>
  <si>
    <t>Soil carbon storage top 90 cm of coniferous woodlands</t>
  </si>
  <si>
    <t>Soil carbon storage top 90 cm of broadleaved woodlands</t>
  </si>
  <si>
    <t>Biomass carbon storage coniferous woodlands</t>
  </si>
  <si>
    <t>Biomass carbon storage broadleaved woodlands</t>
  </si>
  <si>
    <t>n.a</t>
  </si>
  <si>
    <t>Biomass carbon per hedgerow tree</t>
  </si>
  <si>
    <t>kg</t>
  </si>
  <si>
    <t>Total carbon loss (tonnes) due to land conversion in CPF</t>
  </si>
  <si>
    <t xml:space="preserve"> now</t>
  </si>
  <si>
    <t xml:space="preserve"> in 1900</t>
  </si>
  <si>
    <t>tonnes/tree</t>
  </si>
  <si>
    <t>Field Area</t>
  </si>
  <si>
    <t>Number of hedgerow trees</t>
  </si>
  <si>
    <t>trees</t>
  </si>
  <si>
    <t xml:space="preserve">Carbon stock </t>
  </si>
  <si>
    <t>Soil carbon in top 90 cm of coniferous woodlands</t>
  </si>
  <si>
    <t>Soil carbon in top 90 cm of broadleaved woodlands</t>
  </si>
  <si>
    <t>Biomass carbon in coniferous woodlands</t>
  </si>
  <si>
    <t>Biomass carbon in broadleaved woodlands</t>
  </si>
  <si>
    <t>Biomass carbon in hedgerow trees</t>
  </si>
  <si>
    <t>Total terrestrial carbon</t>
  </si>
  <si>
    <t>Total 0-90 cm Soil C</t>
  </si>
  <si>
    <t>Total aboveground biomass C</t>
  </si>
  <si>
    <t>Soil carbon (Kg/m3)</t>
  </si>
  <si>
    <t xml:space="preserve">Table 3. Carbon storage (Kg/m2) of individual tree species in the fieldwork plots in the woodlands, the overall estimated carbon stock (tonnes) of trees in the entire woodlands and the estimated carbon stock of ‘hedgerow’ trees at Cockle Park Farm (CPF) and Nafferton Farm (NF). </t>
  </si>
  <si>
    <t>Species</t>
  </si>
  <si>
    <t>Number of Trees</t>
  </si>
  <si>
    <t>Fieldwork Plot Area (m2)</t>
  </si>
  <si>
    <t>Average Height (m)</t>
  </si>
  <si>
    <t>Average DBH (cm)</t>
  </si>
  <si>
    <t>i-Tree Total Carbon Stock (tonnes)</t>
  </si>
  <si>
    <t>Biomass equations Total Carbon Stock (tonnes)</t>
  </si>
  <si>
    <t>i-Tree Average Carbon Storage (Kg/m2)</t>
  </si>
  <si>
    <t>For calculations, carbon storage</t>
  </si>
  <si>
    <t>European Larch</t>
  </si>
  <si>
    <t>Sycamore</t>
  </si>
  <si>
    <t>English Oak</t>
  </si>
  <si>
    <t>Sitka Spruce</t>
  </si>
  <si>
    <t>Norway Spruce</t>
  </si>
  <si>
    <t>Mix (Sycamore&amp; English Oak)</t>
  </si>
  <si>
    <t>Sum-entire study area</t>
  </si>
  <si>
    <t>Mix (Sitka Spruce&amp; Norway Spruce)</t>
  </si>
  <si>
    <t>Area (hectares)</t>
  </si>
  <si>
    <t>Carbon Stock(tonnes)</t>
  </si>
  <si>
    <t>Trees in the woodlands</t>
  </si>
  <si>
    <t>"Hedgerow" Trees</t>
  </si>
  <si>
    <t>Carbon stock</t>
  </si>
  <si>
    <t>Total terrestrial carbon stock</t>
  </si>
  <si>
    <t>Timeframe</t>
  </si>
  <si>
    <t>years</t>
  </si>
  <si>
    <t>Total  extra carbon sequestration</t>
  </si>
  <si>
    <t>Annual carbon sequestration</t>
  </si>
  <si>
    <t>tonnes/year</t>
  </si>
  <si>
    <t>Ratio of annual carbon sequestration to the current institutional C emissions</t>
  </si>
  <si>
    <t>Total extra carbon sequestration</t>
  </si>
  <si>
    <t>Check the proportion of each land type</t>
  </si>
  <si>
    <t>Carbon stocks</t>
  </si>
  <si>
    <t>Check</t>
  </si>
  <si>
    <t>Table1.  Carbon storage (Kg/m2), field areas and carbon stock of different ecosystem components at Cockle Park Farm (CPF) and Nafferton Farm (NF)</t>
  </si>
  <si>
    <t>Soil carbon stock at coniferous woodland at 2 farms</t>
  </si>
  <si>
    <t>Soil carbon stock at broadleaved woodland at 2 farms</t>
  </si>
  <si>
    <t>Tree carbon stock at coniferous woodland at 2 farms</t>
  </si>
  <si>
    <t>Tree carbon stock at broadleaved woodland at 2 farms</t>
  </si>
  <si>
    <t>Total carbon stock (tonnes)</t>
  </si>
  <si>
    <t>Check the total farm areas</t>
  </si>
  <si>
    <t>Total terrestrial carbon relative to the current C emissions of Newcastle University</t>
  </si>
  <si>
    <t>Percentage of each grouping to the total terrestrial carbon</t>
  </si>
  <si>
    <t xml:space="preserve">Table 2 Soil Total Carbon density (TC, Kg/m3: Mean ± SD), Total Organic Carbon density (TOC, Kg/m3: Mean ± SD) and Soil pH (Mean ± SD) at Cockle Park Farm (CPF) and Nafferton Farm (NF). SD: Standard Deviation. </t>
  </si>
  <si>
    <t>Carbon storage coniferous woodland</t>
  </si>
  <si>
    <t>Carbon storage broadleaved woodland</t>
  </si>
  <si>
    <t>Scenario 2: Converting Nafferton Farm into Forestry Research</t>
  </si>
  <si>
    <t>Total farm areas (hectares)</t>
  </si>
  <si>
    <t>Average carbon storage broadleaved woodland top 30 cm</t>
  </si>
  <si>
    <t>Average carbon storage coniferous woodland top 30 cm</t>
  </si>
  <si>
    <t>The carbon difference (Kg/m2) between woodland system (soils+trees) and agricultural system (soils)</t>
  </si>
  <si>
    <t>Total rural estate area (hectares)</t>
  </si>
  <si>
    <t>Soil carbon storage top 90 cm of permanent grassland</t>
  </si>
  <si>
    <t>Soil carbon storage top 90 cm of arable land</t>
  </si>
  <si>
    <t>Land area permanent grassland</t>
  </si>
  <si>
    <t>Land area arable land</t>
  </si>
  <si>
    <t>Soil carbon in top 90 cm of permanent grassland</t>
  </si>
  <si>
    <t>Soil carbon in top 90 cm of arable land</t>
  </si>
  <si>
    <t>The percentage of arable land at CPF</t>
  </si>
  <si>
    <t>The percentage of permanent grassland at CPF</t>
  </si>
  <si>
    <t>Soil carbon in top 90 cm of woodland</t>
  </si>
  <si>
    <t>Tree carbon of hedgerow trees</t>
  </si>
  <si>
    <t>Tree carbon of woodland</t>
  </si>
  <si>
    <t>Soil carbon stock at permanent grassland at 2 farms</t>
  </si>
  <si>
    <t>Soil carbon stock of arable land at 2 farms</t>
  </si>
  <si>
    <t>Carbon stock of each hedgerow tree</t>
  </si>
  <si>
    <t>Permanent grassland</t>
  </si>
  <si>
    <t>Arable land</t>
  </si>
  <si>
    <t>Carbon storage permanent grassland</t>
  </si>
  <si>
    <t>Carbon storage arable land</t>
  </si>
  <si>
    <t>Carbon storage agricultural land</t>
  </si>
  <si>
    <t>Carbon storage woodland</t>
  </si>
  <si>
    <t>Convert 81.5 hectares of arable land at each farm</t>
  </si>
  <si>
    <t>Converted percentage</t>
  </si>
  <si>
    <t>Check (10% of the current carbon emissions, tonnes)</t>
  </si>
  <si>
    <t>CPF-European Larch</t>
  </si>
  <si>
    <t>CPF-Sycamore</t>
  </si>
  <si>
    <t>CPF-English Oak</t>
  </si>
  <si>
    <t>CPF-Sitka Spruce</t>
  </si>
  <si>
    <t>CPF-Norway Spruce</t>
  </si>
  <si>
    <t>CPF-Mix (Sycamore&amp; English Oak)</t>
  </si>
  <si>
    <t>NF-Mix (Sitka Spruce&amp; Norway Spruce)</t>
  </si>
  <si>
    <t>Soil carbon in top 90 cm of agriculture land</t>
  </si>
  <si>
    <t>Data for regression relationship</t>
  </si>
  <si>
    <t>Scenario 1: If the entire university farming estate were converted to coniferous woodland</t>
  </si>
  <si>
    <t>Scenario 3: The agricultural land use split at the 2 farms is changed to reflect the land use at CPF around 1900</t>
  </si>
  <si>
    <t>Scenario 4: Offsetting 10% of annual carbon emissions of Newcastle University over 40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</si>
</sst>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6" x14ac:knownFonts="1">
    <font>
      <sz val="11"/>
      <color theme="1"/>
      <name val="Calibri"/>
      <family val="2"/>
      <scheme val="minor"/>
    </font>
    <font>
      <sz val="12"/>
      <name val="Times New Roman"/>
      <family val="1"/>
    </font>
    <font>
      <sz val="10"/>
      <name val="Arial"/>
      <family val="2"/>
    </font>
    <font>
      <sz val="10"/>
      <name val="Arial"/>
    </font>
    <font>
      <sz val="12"/>
      <color theme="1"/>
      <name val="Times New Roman"/>
      <family val="1"/>
    </font>
    <font>
      <sz val="12"/>
      <color rgb="FF000000"/>
      <name val="Times New Roman"/>
      <family val="1"/>
    </font>
    <font>
      <sz val="11"/>
      <color theme="1"/>
      <name val="Times New Roman"/>
      <family val="1"/>
    </font>
    <font>
      <b/>
      <sz val="11"/>
      <color theme="1"/>
      <name val="Times New Roman"/>
      <family val="1"/>
    </font>
    <font>
      <sz val="12"/>
      <color rgb="FFFF0000"/>
      <name val="Times New Roman"/>
      <family val="1"/>
    </font>
    <font>
      <b/>
      <sz val="14"/>
      <color theme="1"/>
      <name val="Calibri"/>
      <family val="2"/>
      <scheme val="minor"/>
    </font>
    <font>
      <sz val="11"/>
      <color rgb="FFFF0000"/>
      <name val="Calibri"/>
      <family val="2"/>
      <scheme val="minor"/>
    </font>
    <font>
      <sz val="11"/>
      <name val="Calibri"/>
      <family val="2"/>
      <scheme val="minor"/>
    </font>
    <font>
      <b/>
      <sz val="12"/>
      <name val="Times New Roman"/>
      <family val="1"/>
    </font>
    <font>
      <b/>
      <sz val="12"/>
      <color rgb="FFC00000"/>
      <name val="Times New Roman"/>
      <family val="1"/>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3" fillId="0" borderId="0"/>
    <xf numFmtId="0" fontId="2" fillId="0" borderId="0"/>
  </cellStyleXfs>
  <cellXfs count="98">
    <xf numFmtId="0" fontId="0" fillId="0" borderId="0" xfId="0"/>
    <xf numFmtId="0" fontId="1" fillId="0" borderId="0" xfId="0" applyFont="1" applyAlignment="1">
      <alignment horizontal="left"/>
    </xf>
    <xf numFmtId="2" fontId="1" fillId="0" borderId="0" xfId="0" applyNumberFormat="1" applyFont="1" applyAlignment="1">
      <alignment horizontal="left"/>
    </xf>
    <xf numFmtId="2" fontId="1" fillId="0" borderId="0" xfId="1" applyNumberFormat="1" applyFont="1" applyAlignment="1">
      <alignment horizontal="left" vertical="top"/>
    </xf>
    <xf numFmtId="2" fontId="1" fillId="0" borderId="0" xfId="2" applyNumberFormat="1" applyFont="1" applyAlignment="1">
      <alignment horizontal="left" vertical="top"/>
    </xf>
    <xf numFmtId="2" fontId="1" fillId="0" borderId="0" xfId="0" applyNumberFormat="1" applyFont="1" applyAlignment="1">
      <alignment horizontal="left" vertical="center" wrapText="1"/>
    </xf>
    <xf numFmtId="2" fontId="1" fillId="0" borderId="0" xfId="3" applyNumberFormat="1" applyFont="1" applyAlignment="1">
      <alignment horizontal="left" vertical="top"/>
    </xf>
    <xf numFmtId="2" fontId="4" fillId="0" borderId="0" xfId="0" applyNumberFormat="1" applyFont="1" applyAlignment="1">
      <alignment horizontal="left" vertical="center" wrapText="1"/>
    </xf>
    <xf numFmtId="2" fontId="5" fillId="0" borderId="0" xfId="0" applyNumberFormat="1" applyFont="1" applyAlignment="1">
      <alignment horizontal="left" vertical="center" wrapText="1"/>
    </xf>
    <xf numFmtId="0" fontId="1" fillId="0" borderId="1" xfId="0" applyFont="1" applyBorder="1" applyAlignment="1">
      <alignment horizontal="left"/>
    </xf>
    <xf numFmtId="0" fontId="6" fillId="0" borderId="2" xfId="0" applyFont="1" applyBorder="1" applyAlignment="1">
      <alignment horizontal="left"/>
    </xf>
    <xf numFmtId="164" fontId="7" fillId="0" borderId="2" xfId="0" applyNumberFormat="1" applyFont="1" applyBorder="1" applyAlignment="1">
      <alignment horizontal="left"/>
    </xf>
    <xf numFmtId="0" fontId="1" fillId="0" borderId="2" xfId="0" applyFont="1" applyBorder="1" applyAlignment="1">
      <alignment horizontal="left"/>
    </xf>
    <xf numFmtId="164" fontId="7" fillId="0" borderId="3" xfId="0" applyNumberFormat="1" applyFont="1" applyBorder="1" applyAlignment="1">
      <alignment horizontal="left"/>
    </xf>
    <xf numFmtId="0" fontId="1" fillId="0" borderId="4" xfId="0" applyFont="1" applyBorder="1" applyAlignment="1">
      <alignment horizontal="left"/>
    </xf>
    <xf numFmtId="0" fontId="6" fillId="0" borderId="0" xfId="0" applyFont="1" applyAlignment="1">
      <alignment horizontal="left"/>
    </xf>
    <xf numFmtId="164" fontId="7" fillId="0" borderId="0" xfId="0" applyNumberFormat="1" applyFont="1" applyAlignment="1">
      <alignment horizontal="left"/>
    </xf>
    <xf numFmtId="164" fontId="7" fillId="0" borderId="5" xfId="0" applyNumberFormat="1" applyFont="1" applyBorder="1" applyAlignment="1">
      <alignment horizontal="left"/>
    </xf>
    <xf numFmtId="0" fontId="1" fillId="0" borderId="5" xfId="0" applyFont="1" applyBorder="1" applyAlignment="1">
      <alignment horizontal="left"/>
    </xf>
    <xf numFmtId="164" fontId="1" fillId="0" borderId="0" xfId="0" applyNumberFormat="1" applyFont="1" applyAlignment="1">
      <alignment horizontal="left"/>
    </xf>
    <xf numFmtId="164" fontId="1" fillId="0" borderId="5" xfId="0" applyNumberFormat="1" applyFont="1" applyBorder="1" applyAlignment="1">
      <alignment horizontal="left"/>
    </xf>
    <xf numFmtId="1" fontId="8" fillId="0" borderId="0" xfId="0" applyNumberFormat="1" applyFont="1" applyAlignment="1">
      <alignment horizontal="left"/>
    </xf>
    <xf numFmtId="1" fontId="8" fillId="0" borderId="5" xfId="0" applyNumberFormat="1"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164" fontId="8" fillId="0" borderId="7" xfId="0" applyNumberFormat="1" applyFont="1" applyBorder="1" applyAlignment="1">
      <alignment horizontal="left"/>
    </xf>
    <xf numFmtId="164" fontId="8" fillId="0" borderId="8" xfId="0" applyNumberFormat="1" applyFont="1" applyBorder="1" applyAlignment="1">
      <alignment horizontal="left"/>
    </xf>
    <xf numFmtId="164" fontId="8" fillId="0" borderId="0" xfId="0" applyNumberFormat="1" applyFont="1" applyAlignment="1">
      <alignment horizontal="left"/>
    </xf>
    <xf numFmtId="2" fontId="1" fillId="0" borderId="5" xfId="0" applyNumberFormat="1" applyFont="1" applyBorder="1" applyAlignment="1">
      <alignment horizontal="left"/>
    </xf>
    <xf numFmtId="0" fontId="0" fillId="0" borderId="0" xfId="0" applyAlignment="1">
      <alignment horizontal="left"/>
    </xf>
    <xf numFmtId="0" fontId="9" fillId="0" borderId="0" xfId="0" applyFont="1" applyAlignment="1">
      <alignment horizontal="left"/>
    </xf>
    <xf numFmtId="1" fontId="0" fillId="0" borderId="0" xfId="0" applyNumberFormat="1" applyAlignment="1">
      <alignment horizontal="left"/>
    </xf>
    <xf numFmtId="164" fontId="0" fillId="0" borderId="0" xfId="0" applyNumberFormat="1" applyAlignment="1">
      <alignment horizontal="left"/>
    </xf>
    <xf numFmtId="2" fontId="0" fillId="0" borderId="0" xfId="0" applyNumberFormat="1" applyAlignment="1">
      <alignment horizontal="left"/>
    </xf>
    <xf numFmtId="0" fontId="10" fillId="0" borderId="0" xfId="0" applyFont="1" applyAlignment="1">
      <alignment horizontal="left"/>
    </xf>
    <xf numFmtId="164" fontId="10" fillId="0" borderId="0" xfId="0" applyNumberFormat="1" applyFont="1" applyAlignment="1">
      <alignment horizontal="left"/>
    </xf>
    <xf numFmtId="2" fontId="10" fillId="0" borderId="6" xfId="0" applyNumberFormat="1" applyFont="1" applyBorder="1" applyAlignment="1">
      <alignment horizontal="left"/>
    </xf>
    <xf numFmtId="0" fontId="0" fillId="0" borderId="1" xfId="0" applyBorder="1" applyAlignment="1">
      <alignment horizontal="left"/>
    </xf>
    <xf numFmtId="2" fontId="0" fillId="0" borderId="2" xfId="0" applyNumberFormat="1" applyBorder="1" applyAlignment="1">
      <alignment horizontal="left"/>
    </xf>
    <xf numFmtId="0" fontId="10" fillId="0" borderId="4" xfId="0" applyFont="1" applyBorder="1" applyAlignment="1">
      <alignment horizontal="left"/>
    </xf>
    <xf numFmtId="165" fontId="10" fillId="0" borderId="0" xfId="0" applyNumberFormat="1" applyFont="1" applyAlignment="1">
      <alignment horizontal="left"/>
    </xf>
    <xf numFmtId="2" fontId="10" fillId="0" borderId="0" xfId="0" applyNumberFormat="1" applyFont="1" applyAlignment="1">
      <alignment horizontal="left"/>
    </xf>
    <xf numFmtId="1" fontId="10" fillId="0" borderId="0" xfId="0" applyNumberFormat="1" applyFont="1" applyAlignment="1">
      <alignment horizontal="left"/>
    </xf>
    <xf numFmtId="0" fontId="10" fillId="0" borderId="5" xfId="0" applyFont="1" applyBorder="1" applyAlignment="1">
      <alignment horizontal="left"/>
    </xf>
    <xf numFmtId="0" fontId="10" fillId="0" borderId="6" xfId="0" applyFont="1" applyBorder="1" applyAlignment="1">
      <alignment horizontal="left"/>
    </xf>
    <xf numFmtId="2" fontId="10" fillId="0" borderId="7" xfId="0" applyNumberFormat="1"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5" xfId="0" applyBorder="1" applyAlignment="1">
      <alignment horizontal="left"/>
    </xf>
    <xf numFmtId="2" fontId="10" fillId="0" borderId="4" xfId="0" applyNumberFormat="1"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0" xfId="0" applyAlignment="1">
      <alignment wrapText="1"/>
    </xf>
    <xf numFmtId="0" fontId="10" fillId="0" borderId="0" xfId="0" applyFont="1" applyAlignment="1">
      <alignment wrapText="1"/>
    </xf>
    <xf numFmtId="0" fontId="10" fillId="0" borderId="0" xfId="0" applyFont="1"/>
    <xf numFmtId="2" fontId="10" fillId="0" borderId="0" xfId="0" applyNumberFormat="1" applyFont="1"/>
    <xf numFmtId="165" fontId="0" fillId="0" borderId="0" xfId="0" applyNumberFormat="1" applyAlignment="1">
      <alignment horizontal="left"/>
    </xf>
    <xf numFmtId="166" fontId="0" fillId="0" borderId="0" xfId="0" applyNumberFormat="1" applyAlignment="1">
      <alignment horizontal="left"/>
    </xf>
    <xf numFmtId="0" fontId="10" fillId="0" borderId="0" xfId="0" applyFont="1" applyBorder="1" applyAlignment="1">
      <alignment horizontal="left"/>
    </xf>
    <xf numFmtId="0" fontId="10" fillId="0" borderId="0" xfId="0" applyFont="1" applyBorder="1" applyAlignment="1">
      <alignment horizontal="left" wrapText="1"/>
    </xf>
    <xf numFmtId="0" fontId="11" fillId="0" borderId="0" xfId="0" applyFont="1" applyBorder="1" applyAlignment="1">
      <alignment horizontal="left" wrapText="1"/>
    </xf>
    <xf numFmtId="164" fontId="0" fillId="0" borderId="0" xfId="0" applyNumberFormat="1" applyFont="1" applyAlignment="1">
      <alignment horizontal="left"/>
    </xf>
    <xf numFmtId="1" fontId="0" fillId="0" borderId="0" xfId="0" applyNumberFormat="1"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xf numFmtId="0" fontId="15" fillId="0" borderId="0" xfId="0" applyFont="1"/>
    <xf numFmtId="0" fontId="15" fillId="0" borderId="0" xfId="0" applyFont="1" applyAlignment="1">
      <alignment horizontal="left"/>
    </xf>
    <xf numFmtId="0" fontId="14" fillId="0" borderId="0" xfId="0" applyFont="1" applyAlignment="1">
      <alignment horizontal="left"/>
    </xf>
    <xf numFmtId="1" fontId="15" fillId="0" borderId="0" xfId="0" applyNumberFormat="1" applyFont="1" applyAlignment="1">
      <alignment horizontal="left"/>
    </xf>
    <xf numFmtId="164" fontId="15" fillId="0" borderId="0" xfId="0" applyNumberFormat="1" applyFont="1" applyAlignment="1">
      <alignment horizontal="left"/>
    </xf>
    <xf numFmtId="0" fontId="8" fillId="0" borderId="0" xfId="0" applyFont="1" applyAlignment="1">
      <alignment horizontal="right"/>
    </xf>
    <xf numFmtId="2" fontId="8" fillId="0" borderId="0" xfId="0" applyNumberFormat="1" applyFont="1" applyAlignment="1">
      <alignment horizontal="left"/>
    </xf>
    <xf numFmtId="164" fontId="10" fillId="0" borderId="9" xfId="0" applyNumberFormat="1" applyFont="1" applyBorder="1" applyAlignment="1">
      <alignment horizontal="left"/>
    </xf>
    <xf numFmtId="164" fontId="10" fillId="0" borderId="10" xfId="0" applyNumberFormat="1" applyFont="1" applyBorder="1" applyAlignment="1">
      <alignment horizontal="left"/>
    </xf>
    <xf numFmtId="0" fontId="0" fillId="0" borderId="0" xfId="0" applyBorder="1"/>
    <xf numFmtId="0" fontId="10" fillId="0" borderId="0" xfId="0" applyFont="1" applyBorder="1"/>
    <xf numFmtId="0" fontId="0" fillId="2" borderId="2" xfId="0" applyFill="1" applyBorder="1" applyAlignment="1">
      <alignment wrapText="1"/>
    </xf>
    <xf numFmtId="0" fontId="0" fillId="2" borderId="3" xfId="0" applyFill="1" applyBorder="1" applyAlignment="1">
      <alignment wrapText="1"/>
    </xf>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applyAlignment="1">
      <alignment horizontal="left" vertical="top"/>
    </xf>
    <xf numFmtId="0" fontId="0" fillId="0" borderId="0" xfId="0" applyFill="1" applyAlignment="1">
      <alignment wrapText="1"/>
    </xf>
    <xf numFmtId="0" fontId="0" fillId="0" borderId="0" xfId="0" applyFill="1"/>
    <xf numFmtId="0" fontId="10" fillId="0" borderId="2" xfId="0" applyFont="1" applyBorder="1" applyAlignment="1">
      <alignment horizontal="left" wrapText="1"/>
    </xf>
    <xf numFmtId="0" fontId="10" fillId="0" borderId="3" xfId="0" applyFont="1" applyBorder="1" applyAlignment="1">
      <alignment horizontal="left" wrapText="1"/>
    </xf>
    <xf numFmtId="0" fontId="10" fillId="0" borderId="0" xfId="0" applyFont="1" applyAlignment="1">
      <alignment horizontal="left" wrapText="1"/>
    </xf>
    <xf numFmtId="0" fontId="10" fillId="0" borderId="5" xfId="0" applyFont="1" applyBorder="1" applyAlignment="1">
      <alignment horizontal="left" wrapText="1"/>
    </xf>
    <xf numFmtId="0" fontId="10" fillId="0" borderId="1" xfId="0" applyFont="1" applyBorder="1" applyAlignment="1">
      <alignment horizontal="left" wrapText="1"/>
    </xf>
    <xf numFmtId="0" fontId="10" fillId="0" borderId="4" xfId="0" applyFont="1" applyBorder="1" applyAlignment="1">
      <alignment horizontal="left" wrapText="1"/>
    </xf>
    <xf numFmtId="0" fontId="10" fillId="0" borderId="0" xfId="0" applyFont="1" applyBorder="1" applyAlignment="1">
      <alignment horizontal="left" wrapText="1"/>
    </xf>
  </cellXfs>
  <cellStyles count="4">
    <cellStyle name="Normal" xfId="0" builtinId="0"/>
    <cellStyle name="Normal_Sheet1" xfId="3" xr:uid="{B40E3D61-1601-4F32-A9F0-1F41DA8ECBE2}"/>
    <cellStyle name="Normal_Sheet1_1" xfId="2" xr:uid="{30329CE7-845A-440A-9DB3-49120DD346F3}"/>
    <cellStyle name="Normal_Table 2" xfId="1" xr:uid="{525CFDB0-B954-48E7-9BE9-FE9FE603F4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Regression relationship</a:t>
            </a:r>
            <a:r>
              <a:rPr lang="en-GB" baseline="0"/>
              <a:t> between i-Tree carbon stock and biomass equations carbon stock</a:t>
            </a:r>
            <a:endParaRPr lang="en-GB"/>
          </a:p>
        </c:rich>
      </c:tx>
      <c:layout>
        <c:manualLayout>
          <c:xMode val="edge"/>
          <c:yMode val="edge"/>
          <c:x val="0.10797222222222222"/>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'Table 3'!$B$21:$B$27</c:f>
              <c:strCache>
                <c:ptCount val="7"/>
                <c:pt idx="0">
                  <c:v>CPF-European Larch</c:v>
                </c:pt>
                <c:pt idx="1">
                  <c:v>CPF-Sycamore</c:v>
                </c:pt>
                <c:pt idx="2">
                  <c:v>CPF-English Oak</c:v>
                </c:pt>
                <c:pt idx="3">
                  <c:v>CPF-Sitka Spruce</c:v>
                </c:pt>
                <c:pt idx="4">
                  <c:v>CPF-Norway Spruce</c:v>
                </c:pt>
                <c:pt idx="5">
                  <c:v>CPF-Mix (Sycamore&amp; English Oak)</c:v>
                </c:pt>
                <c:pt idx="6">
                  <c:v>NF-Mix (Sitka Spruce&amp; Norway Spruce)</c:v>
                </c:pt>
              </c:strCache>
            </c:strRef>
          </c:tx>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1.1358267716535433E-3"/>
                  <c:y val="0.17972222222222223"/>
                </c:manualLayout>
              </c:layout>
              <c:numFmt formatCode="General" sourceLinked="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trendlineLbl>
          </c:trendline>
          <c:xVal>
            <c:numRef>
              <c:f>'Table 3'!$C$21:$C$27</c:f>
              <c:numCache>
                <c:formatCode>General</c:formatCode>
                <c:ptCount val="7"/>
                <c:pt idx="0">
                  <c:v>4.0999999999999996</c:v>
                </c:pt>
                <c:pt idx="1">
                  <c:v>7.5</c:v>
                </c:pt>
                <c:pt idx="2">
                  <c:v>9</c:v>
                </c:pt>
                <c:pt idx="3">
                  <c:v>5.2</c:v>
                </c:pt>
                <c:pt idx="4">
                  <c:v>1.4</c:v>
                </c:pt>
                <c:pt idx="5">
                  <c:v>7.9</c:v>
                </c:pt>
                <c:pt idx="6">
                  <c:v>13</c:v>
                </c:pt>
              </c:numCache>
            </c:numRef>
          </c:xVal>
          <c:yVal>
            <c:numRef>
              <c:f>'Table 3'!$D$21:$D$27</c:f>
              <c:numCache>
                <c:formatCode>General</c:formatCode>
                <c:ptCount val="7"/>
                <c:pt idx="0">
                  <c:v>6.3</c:v>
                </c:pt>
                <c:pt idx="1">
                  <c:v>8.61</c:v>
                </c:pt>
                <c:pt idx="2">
                  <c:v>11.23</c:v>
                </c:pt>
                <c:pt idx="3">
                  <c:v>4.95</c:v>
                </c:pt>
                <c:pt idx="4">
                  <c:v>1.0900000000000001</c:v>
                </c:pt>
                <c:pt idx="5">
                  <c:v>8.67</c:v>
                </c:pt>
                <c:pt idx="6">
                  <c:v>10.89</c:v>
                </c:pt>
              </c:numCache>
            </c:numRef>
          </c:yVal>
          <c:smooth val="0"/>
          <c:extLst>
            <c:ext xmlns:c16="http://schemas.microsoft.com/office/drawing/2014/chart" uri="{C3380CC4-5D6E-409C-BE32-E72D297353CC}">
              <c16:uniqueId val="{00000000-908E-4B53-B13C-5D392EC464F1}"/>
            </c:ext>
          </c:extLst>
        </c:ser>
        <c:dLbls>
          <c:showLegendKey val="0"/>
          <c:showVal val="0"/>
          <c:showCatName val="0"/>
          <c:showSerName val="0"/>
          <c:showPercent val="0"/>
          <c:showBubbleSize val="0"/>
        </c:dLbls>
        <c:axId val="722021688"/>
        <c:axId val="722022672"/>
      </c:scatterChart>
      <c:valAx>
        <c:axId val="7220216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Biomass equations total carbon stock (tonnes)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022672"/>
        <c:crosses val="autoZero"/>
        <c:crossBetween val="midCat"/>
      </c:valAx>
      <c:valAx>
        <c:axId val="722022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i-Tree Total carbon stock (tonnes)</a:t>
                </a:r>
              </a:p>
            </c:rich>
          </c:tx>
          <c:layout>
            <c:manualLayout>
              <c:xMode val="edge"/>
              <c:yMode val="edge"/>
              <c:x val="1.9444444444444445E-2"/>
              <c:y val="0.1443518518518518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20216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160564</xdr:colOff>
      <xdr:row>17</xdr:row>
      <xdr:rowOff>166007</xdr:rowOff>
    </xdr:from>
    <xdr:to>
      <xdr:col>8</xdr:col>
      <xdr:colOff>732064</xdr:colOff>
      <xdr:row>30</xdr:row>
      <xdr:rowOff>133350</xdr:rowOff>
    </xdr:to>
    <xdr:graphicFrame macro="">
      <xdr:nvGraphicFramePr>
        <xdr:cNvPr id="5" name="Chart 4">
          <a:extLst>
            <a:ext uri="{FF2B5EF4-FFF2-40B4-BE49-F238E27FC236}">
              <a16:creationId xmlns:a16="http://schemas.microsoft.com/office/drawing/2014/main" id="{4034C9E9-4060-4EDA-B164-1A44C404C99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wStage_Jiaqian/Yeal%20Reoprt/Thesis/Trial%20Paper/Available%20Journals/1st%20Publication/Soil%20Use%20and%20Management/Submit/Carbon%20calculator_JW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2)"/>
      <sheetName val="Figure 2 (2)"/>
      <sheetName val="Figure 2"/>
      <sheetName val="Table 1"/>
      <sheetName val="Table 2"/>
      <sheetName val="Table 3"/>
      <sheetName val="Scenario 1"/>
      <sheetName val="Scenario 2"/>
      <sheetName val="Scenario 3"/>
      <sheetName val="Scenario 4"/>
    </sheetNames>
    <sheetDataSet>
      <sheetData sheetId="0"/>
      <sheetData sheetId="1"/>
      <sheetData sheetId="2"/>
      <sheetData sheetId="3"/>
      <sheetData sheetId="4">
        <row r="6">
          <cell r="D6">
            <v>24.636666666666699</v>
          </cell>
          <cell r="H6">
            <v>8.4266666666666676</v>
          </cell>
          <cell r="L6">
            <v>7.41</v>
          </cell>
        </row>
        <row r="7">
          <cell r="D7">
            <v>18.264666666666663</v>
          </cell>
          <cell r="H7">
            <v>8.4066666666666645</v>
          </cell>
          <cell r="L7">
            <v>7.6703571428571422</v>
          </cell>
        </row>
        <row r="8">
          <cell r="D8">
            <v>29.49</v>
          </cell>
          <cell r="H8">
            <v>12.47</v>
          </cell>
          <cell r="L8">
            <v>9.0299999999999994</v>
          </cell>
        </row>
        <row r="9">
          <cell r="D9">
            <v>23.75</v>
          </cell>
          <cell r="H9">
            <v>10.68</v>
          </cell>
          <cell r="L9">
            <v>9.74</v>
          </cell>
        </row>
        <row r="12">
          <cell r="D12">
            <v>38.414000000000001</v>
          </cell>
          <cell r="H12">
            <v>11.488</v>
          </cell>
          <cell r="L12">
            <v>7.1890000000000001</v>
          </cell>
        </row>
        <row r="13">
          <cell r="D13">
            <v>23.075655172413793</v>
          </cell>
          <cell r="H13">
            <v>9.0749655172413775</v>
          </cell>
          <cell r="L13">
            <v>8.3752500000000012</v>
          </cell>
        </row>
        <row r="14">
          <cell r="D14">
            <v>30.37</v>
          </cell>
          <cell r="H14">
            <v>11.83</v>
          </cell>
          <cell r="L14">
            <v>13.27</v>
          </cell>
        </row>
        <row r="15">
          <cell r="D15">
            <v>28.39</v>
          </cell>
          <cell r="H15">
            <v>15.35</v>
          </cell>
          <cell r="L15">
            <v>10.71</v>
          </cell>
        </row>
      </sheetData>
      <sheetData sheetId="5">
        <row r="4">
          <cell r="L4">
            <v>10.65</v>
          </cell>
        </row>
        <row r="5">
          <cell r="L5">
            <v>12.683333333333332</v>
          </cell>
        </row>
        <row r="12">
          <cell r="L12">
            <v>12.6</v>
          </cell>
        </row>
      </sheetData>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3AD9B-EC63-44CF-A3AD-81B8DDFC07A3}">
  <dimension ref="A1:Q32"/>
  <sheetViews>
    <sheetView zoomScale="90" zoomScaleNormal="90" workbookViewId="0">
      <selection activeCell="E16" sqref="E16"/>
    </sheetView>
  </sheetViews>
  <sheetFormatPr defaultColWidth="9.33203125" defaultRowHeight="14.4" x14ac:dyDescent="0.3"/>
  <cols>
    <col min="1" max="1" width="15" style="29" customWidth="1"/>
    <col min="2" max="2" width="52.109375" style="29" customWidth="1"/>
    <col min="3" max="3" width="9.33203125" style="29"/>
    <col min="4" max="4" width="9.5546875" style="29" bestFit="1" customWidth="1"/>
    <col min="5" max="5" width="9.33203125" style="29"/>
    <col min="6" max="6" width="11.6640625" style="29" customWidth="1"/>
    <col min="7" max="7" width="43.88671875" style="29" customWidth="1"/>
    <col min="8" max="8" width="11.44140625" style="29" customWidth="1"/>
    <col min="9" max="9" width="15.88671875" style="29" customWidth="1"/>
    <col min="10" max="10" width="9.6640625" style="29" customWidth="1"/>
    <col min="11" max="11" width="20.88671875" style="29" customWidth="1"/>
    <col min="12" max="12" width="51.109375" style="29" customWidth="1"/>
    <col min="13" max="13" width="14.44140625" style="29" customWidth="1"/>
    <col min="14" max="14" width="11.6640625" style="31" customWidth="1"/>
    <col min="15" max="15" width="12.6640625" style="29" customWidth="1"/>
    <col min="16" max="16" width="9.33203125" style="32"/>
    <col min="17" max="16384" width="9.33203125" style="29"/>
  </cols>
  <sheetData>
    <row r="1" spans="1:17" ht="18" x14ac:dyDescent="0.35">
      <c r="B1" s="30" t="s">
        <v>93</v>
      </c>
    </row>
    <row r="2" spans="1:17" x14ac:dyDescent="0.3">
      <c r="C2" s="29" t="s">
        <v>28</v>
      </c>
      <c r="D2" s="29" t="s">
        <v>13</v>
      </c>
      <c r="E2" s="29" t="s">
        <v>18</v>
      </c>
      <c r="F2" s="29" t="s">
        <v>29</v>
      </c>
      <c r="G2" s="33"/>
      <c r="H2" s="33"/>
      <c r="M2" s="29" t="s">
        <v>30</v>
      </c>
      <c r="O2" s="34" t="s">
        <v>31</v>
      </c>
      <c r="P2" s="35"/>
      <c r="Q2" s="34"/>
    </row>
    <row r="3" spans="1:17" x14ac:dyDescent="0.3">
      <c r="A3" s="29" t="s">
        <v>32</v>
      </c>
      <c r="B3" s="29" t="s">
        <v>111</v>
      </c>
      <c r="C3" s="29" t="s">
        <v>33</v>
      </c>
      <c r="D3" s="33">
        <f>0.3*'[1]Table 2'!D6+0.3*'[1]Table 2'!H6+0.3*'[1]Table 2'!L6</f>
        <v>12.14200000000001</v>
      </c>
      <c r="E3" s="33">
        <f>0.3*'[1]Table 2'!D12+0.3*'[1]Table 2'!H12+0.3*'[1]Table 2'!L12</f>
        <v>17.127300000000002</v>
      </c>
      <c r="F3" s="33">
        <f>(D3*D11+E3*E11)/(D11+E11)</f>
        <v>14.669899826979135</v>
      </c>
      <c r="G3" s="33"/>
      <c r="H3" s="33"/>
      <c r="L3" s="29" t="s">
        <v>122</v>
      </c>
      <c r="M3" s="29" t="s">
        <v>26</v>
      </c>
      <c r="N3" s="31">
        <f>(D3*D11+E3*E11)*10000/1000</f>
        <v>17906.989262600007</v>
      </c>
      <c r="O3" s="34" t="s">
        <v>34</v>
      </c>
      <c r="P3" s="35">
        <f>N3/(D11+E11)</f>
        <v>146.69899826979136</v>
      </c>
      <c r="Q3" s="34"/>
    </row>
    <row r="4" spans="1:17" x14ac:dyDescent="0.3">
      <c r="B4" s="29" t="s">
        <v>112</v>
      </c>
      <c r="C4" s="29" t="s">
        <v>33</v>
      </c>
      <c r="D4" s="33">
        <f>(0.3*'[1]Table 2'!D7+0.3*'[1]Table 2'!H7+0.3*'[1]Table 2'!L7)</f>
        <v>10.302507142857142</v>
      </c>
      <c r="E4" s="33">
        <f>0.3*'[1]Table 2'!D13+0.3*'[1]Table 2'!H13+0.3*'[1]Table 2'!L13</f>
        <v>12.15776120689655</v>
      </c>
      <c r="F4" s="33">
        <f>(D4*D12+E4*E12)/(D12+E12)</f>
        <v>11.51963213221344</v>
      </c>
      <c r="G4" s="95" t="s">
        <v>109</v>
      </c>
      <c r="H4" s="91"/>
      <c r="I4" s="92"/>
      <c r="L4" s="29" t="s">
        <v>123</v>
      </c>
      <c r="M4" s="29" t="s">
        <v>26</v>
      </c>
      <c r="N4" s="31">
        <f>(D4*D12+E4*E12)*10000/1000</f>
        <v>74294.001256305157</v>
      </c>
      <c r="O4" s="34" t="s">
        <v>34</v>
      </c>
      <c r="P4" s="35">
        <f>N4/(D12+E12)</f>
        <v>115.19632132213438</v>
      </c>
      <c r="Q4" s="34"/>
    </row>
    <row r="5" spans="1:17" x14ac:dyDescent="0.3">
      <c r="B5" s="29" t="s">
        <v>35</v>
      </c>
      <c r="C5" s="29" t="s">
        <v>33</v>
      </c>
      <c r="D5" s="33">
        <f>0.3*'[1]Table 2'!D8+0.3*'[1]Table 2'!H8+0.3*'[1]Table 2'!L8</f>
        <v>15.296999999999999</v>
      </c>
      <c r="E5" s="33">
        <f>0.3*'[1]Table 2'!D14+0.3*'[1]Table 2'!H14+0.3*'[1]Table 2'!L14</f>
        <v>16.640999999999998</v>
      </c>
      <c r="F5" s="33">
        <f>(D5*D13+E5*E13)/(D13+E13)</f>
        <v>15.758891655450874</v>
      </c>
      <c r="G5" s="96"/>
      <c r="H5" s="97"/>
      <c r="I5" s="94"/>
      <c r="L5" s="29" t="s">
        <v>94</v>
      </c>
      <c r="M5" s="29" t="s">
        <v>26</v>
      </c>
      <c r="N5" s="31">
        <f>(D5*D13+E5*E13)*10000/1000</f>
        <v>4496.2008959999994</v>
      </c>
      <c r="O5" s="34" t="s">
        <v>34</v>
      </c>
      <c r="P5" s="35">
        <f>N5/(D13+E13)</f>
        <v>157.58891655450873</v>
      </c>
      <c r="Q5" s="34"/>
    </row>
    <row r="6" spans="1:17" x14ac:dyDescent="0.3">
      <c r="B6" s="29" t="s">
        <v>36</v>
      </c>
      <c r="C6" s="29" t="s">
        <v>33</v>
      </c>
      <c r="D6" s="33">
        <f>0.3*'[1]Table 2'!D9+0.3*'[1]Table 2'!H9+0.3*'[1]Table 2'!L9</f>
        <v>13.251000000000001</v>
      </c>
      <c r="E6" s="33">
        <f>0.3*'[1]Table 2'!D15+0.3*'[1]Table 2'!H15+0.3*'[1]Table 2'!L15</f>
        <v>16.335000000000001</v>
      </c>
      <c r="F6" s="33">
        <f>(D6*D14+E6*E14)/(D14+E14)</f>
        <v>14.29151778472457</v>
      </c>
      <c r="G6" s="39" t="s">
        <v>13</v>
      </c>
      <c r="H6" s="61" t="s">
        <v>18</v>
      </c>
      <c r="I6" s="51"/>
      <c r="L6" s="29" t="s">
        <v>95</v>
      </c>
      <c r="M6" s="29" t="s">
        <v>26</v>
      </c>
      <c r="N6" s="31">
        <f>(D6*D14+E6*E14)*10000/1000</f>
        <v>1353.2352360000002</v>
      </c>
      <c r="O6" s="34" t="s">
        <v>34</v>
      </c>
      <c r="P6" s="35">
        <f>N6/(D14+E14)</f>
        <v>142.91517784724573</v>
      </c>
      <c r="Q6" s="34"/>
    </row>
    <row r="7" spans="1:17" x14ac:dyDescent="0.3">
      <c r="B7" s="29" t="s">
        <v>37</v>
      </c>
      <c r="C7" s="29" t="s">
        <v>33</v>
      </c>
      <c r="D7" s="33">
        <f>'[1]Table 3'!L5</f>
        <v>12.683333333333332</v>
      </c>
      <c r="E7" s="33">
        <f>'[1]Table 3'!L12</f>
        <v>12.6</v>
      </c>
      <c r="F7" s="33">
        <f>(D7*D13+E13*E7)/(D13+E13)</f>
        <v>12.654694217791983</v>
      </c>
      <c r="G7" s="36">
        <f>AVERAGE(D5:D6)+AVERAGE(D7:D8)-AVERAGE(D3:D4)</f>
        <v>14.718413095238089</v>
      </c>
      <c r="H7" s="45">
        <f>AVERAGE(E5:E6)+E7-AVERAGE(E3:E4)</f>
        <v>14.445469396551726</v>
      </c>
      <c r="I7" s="54"/>
      <c r="L7" s="29" t="s">
        <v>96</v>
      </c>
      <c r="M7" s="29" t="s">
        <v>26</v>
      </c>
      <c r="N7" s="31">
        <f>(D7*D13+E7*E13)*10000/1000</f>
        <v>3610.5361166666657</v>
      </c>
      <c r="O7" s="34" t="s">
        <v>34</v>
      </c>
      <c r="P7" s="35">
        <f>N7/(D13+E13)</f>
        <v>126.54694217791982</v>
      </c>
      <c r="Q7" s="34"/>
    </row>
    <row r="8" spans="1:17" x14ac:dyDescent="0.3">
      <c r="B8" s="29" t="s">
        <v>38</v>
      </c>
      <c r="C8" s="29" t="s">
        <v>33</v>
      </c>
      <c r="D8" s="33">
        <f>'[1]Table 3'!L4</f>
        <v>10.65</v>
      </c>
      <c r="E8" s="33" t="s">
        <v>39</v>
      </c>
      <c r="F8" s="33">
        <f>D8</f>
        <v>10.65</v>
      </c>
      <c r="L8" s="29" t="s">
        <v>97</v>
      </c>
      <c r="M8" s="29" t="s">
        <v>26</v>
      </c>
      <c r="N8" s="31">
        <f>D8*(D14+E14)*10000/1000</f>
        <v>1008.4272</v>
      </c>
      <c r="O8" s="34" t="s">
        <v>34</v>
      </c>
      <c r="P8" s="35">
        <f>N8/(D14+E14)</f>
        <v>106.5</v>
      </c>
      <c r="Q8" s="34"/>
    </row>
    <row r="9" spans="1:17" x14ac:dyDescent="0.3">
      <c r="B9" s="29" t="s">
        <v>40</v>
      </c>
      <c r="C9" s="29" t="s">
        <v>41</v>
      </c>
      <c r="D9" s="33">
        <v>395</v>
      </c>
      <c r="E9" s="33">
        <v>395</v>
      </c>
      <c r="F9" s="33">
        <f>D9</f>
        <v>395</v>
      </c>
      <c r="G9" s="37"/>
      <c r="H9" s="38"/>
      <c r="I9" s="38"/>
      <c r="J9" s="91" t="s">
        <v>42</v>
      </c>
      <c r="K9" s="92"/>
      <c r="L9" s="62"/>
      <c r="O9" s="34"/>
      <c r="P9" s="35"/>
      <c r="Q9" s="34"/>
    </row>
    <row r="10" spans="1:17" x14ac:dyDescent="0.3">
      <c r="G10" s="39"/>
      <c r="H10" s="34" t="s">
        <v>43</v>
      </c>
      <c r="I10" s="34" t="s">
        <v>44</v>
      </c>
      <c r="J10" s="93"/>
      <c r="K10" s="94"/>
      <c r="L10" s="63" t="s">
        <v>124</v>
      </c>
      <c r="M10" s="29" t="s">
        <v>26</v>
      </c>
      <c r="N10" s="31">
        <f>(D15*D9+E15*E9)/1000</f>
        <v>950.37</v>
      </c>
      <c r="O10" s="34" t="s">
        <v>45</v>
      </c>
      <c r="P10" s="40">
        <f>N10/SUM(D15:E15)</f>
        <v>0.39500000000000002</v>
      </c>
      <c r="Q10" s="34"/>
    </row>
    <row r="11" spans="1:17" x14ac:dyDescent="0.3">
      <c r="A11" s="29" t="s">
        <v>46</v>
      </c>
      <c r="B11" s="29" t="s">
        <v>113</v>
      </c>
      <c r="C11" s="29" t="s">
        <v>22</v>
      </c>
      <c r="D11" s="64">
        <v>60.17</v>
      </c>
      <c r="E11" s="64">
        <v>61.8962</v>
      </c>
      <c r="F11" s="64">
        <f>SUM(D11:E11)</f>
        <v>122.06620000000001</v>
      </c>
      <c r="G11" s="39" t="s">
        <v>118</v>
      </c>
      <c r="H11" s="41">
        <f>D11/SUM(D11:D12)</f>
        <v>0.21336879432624115</v>
      </c>
      <c r="I11" s="34">
        <v>0.84</v>
      </c>
      <c r="J11" s="42">
        <f>(I11*SUM(D11:D12)*D3+I12*SUM(D11:D12)*D4-D11*D3-D12*D4)*10</f>
        <v>3250.5678278571622</v>
      </c>
      <c r="K11" s="43"/>
      <c r="L11" s="61"/>
    </row>
    <row r="12" spans="1:17" x14ac:dyDescent="0.3">
      <c r="B12" s="29" t="s">
        <v>114</v>
      </c>
      <c r="C12" s="29" t="s">
        <v>22</v>
      </c>
      <c r="D12" s="64">
        <v>221.82999999999998</v>
      </c>
      <c r="E12" s="64">
        <v>423.10379999999998</v>
      </c>
      <c r="F12" s="64">
        <f t="shared" ref="F12:F14" si="0">SUM(D12:E12)</f>
        <v>644.93380000000002</v>
      </c>
      <c r="G12" s="44" t="s">
        <v>117</v>
      </c>
      <c r="H12" s="45">
        <f>D12/SUM(D11:D12)</f>
        <v>0.78663120567375877</v>
      </c>
      <c r="I12" s="46">
        <v>0.16</v>
      </c>
      <c r="J12" s="46"/>
      <c r="K12" s="47"/>
      <c r="L12" s="61"/>
    </row>
    <row r="13" spans="1:17" x14ac:dyDescent="0.3">
      <c r="B13" s="29" t="s">
        <v>23</v>
      </c>
      <c r="C13" s="29" t="s">
        <v>22</v>
      </c>
      <c r="D13" s="64">
        <v>18.725899999999999</v>
      </c>
      <c r="E13" s="64">
        <v>9.805299999999999</v>
      </c>
      <c r="F13" s="64">
        <f t="shared" si="0"/>
        <v>28.531199999999998</v>
      </c>
      <c r="H13" s="33"/>
    </row>
    <row r="14" spans="1:17" x14ac:dyDescent="0.3">
      <c r="B14" s="29" t="s">
        <v>24</v>
      </c>
      <c r="C14" s="29" t="s">
        <v>22</v>
      </c>
      <c r="D14" s="64">
        <v>6.2740999999999998</v>
      </c>
      <c r="E14" s="64">
        <v>3.1947000000000001</v>
      </c>
      <c r="F14" s="64">
        <f t="shared" si="0"/>
        <v>9.4687999999999999</v>
      </c>
      <c r="G14" s="76" t="s">
        <v>110</v>
      </c>
      <c r="H14" s="77">
        <f>SUM(F11:F14)</f>
        <v>805</v>
      </c>
    </row>
    <row r="15" spans="1:17" x14ac:dyDescent="0.3">
      <c r="B15" s="29" t="s">
        <v>47</v>
      </c>
      <c r="C15" s="29" t="s">
        <v>48</v>
      </c>
      <c r="D15" s="65">
        <v>1146</v>
      </c>
      <c r="E15" s="65">
        <v>1260</v>
      </c>
      <c r="F15" s="65">
        <f>SUM(D15:E15)</f>
        <v>2406</v>
      </c>
    </row>
    <row r="16" spans="1:17" x14ac:dyDescent="0.3">
      <c r="E16" s="32"/>
      <c r="G16" s="48" t="s">
        <v>101</v>
      </c>
      <c r="H16" s="49"/>
      <c r="I16" s="50"/>
    </row>
    <row r="17" spans="1:9" x14ac:dyDescent="0.3">
      <c r="A17" s="29" t="s">
        <v>49</v>
      </c>
      <c r="B17" s="29" t="s">
        <v>115</v>
      </c>
      <c r="C17" s="29" t="s">
        <v>26</v>
      </c>
      <c r="D17" s="31">
        <f>D3*D11*10000/1000</f>
        <v>7305.8414000000057</v>
      </c>
      <c r="E17" s="31">
        <f>E3*E11*10000/1000</f>
        <v>10601.147862600001</v>
      </c>
      <c r="F17" s="31">
        <f>SUM(D17:E17)</f>
        <v>17906.989262600007</v>
      </c>
      <c r="G17" s="39" t="s">
        <v>141</v>
      </c>
      <c r="I17" s="51"/>
    </row>
    <row r="18" spans="1:9" x14ac:dyDescent="0.3">
      <c r="B18" s="29" t="s">
        <v>116</v>
      </c>
      <c r="C18" s="29" t="s">
        <v>26</v>
      </c>
      <c r="D18" s="31">
        <f>D4*D12*10000/1000</f>
        <v>22854.051594999994</v>
      </c>
      <c r="E18" s="31">
        <f t="shared" ref="E18" si="1">E4*E12*10000/1000</f>
        <v>51439.949661305167</v>
      </c>
      <c r="F18" s="31">
        <f t="shared" ref="F18:F22" si="2">SUM(D18:E18)</f>
        <v>74294.001256305157</v>
      </c>
      <c r="G18" s="52">
        <f>SUM(F17:F18)/F25</f>
        <v>0.88980123624837382</v>
      </c>
      <c r="I18" s="51"/>
    </row>
    <row r="19" spans="1:9" x14ac:dyDescent="0.3">
      <c r="B19" s="29" t="s">
        <v>50</v>
      </c>
      <c r="C19" s="29" t="s">
        <v>26</v>
      </c>
      <c r="D19" s="31">
        <f>D5*D13*10000/1000</f>
        <v>2864.5009230000001</v>
      </c>
      <c r="E19" s="31">
        <f>E5*E13*10000/1000</f>
        <v>1631.6999729999998</v>
      </c>
      <c r="F19" s="31">
        <f>SUM(D19:E19)</f>
        <v>4496.2008960000003</v>
      </c>
      <c r="G19" s="39" t="s">
        <v>119</v>
      </c>
      <c r="I19" s="51"/>
    </row>
    <row r="20" spans="1:9" x14ac:dyDescent="0.3">
      <c r="B20" s="29" t="s">
        <v>51</v>
      </c>
      <c r="C20" s="29" t="s">
        <v>26</v>
      </c>
      <c r="D20" s="31">
        <f>D6*D14*10000/1000</f>
        <v>831.38099099999999</v>
      </c>
      <c r="E20" s="31">
        <f>E6*E14*10000/1000</f>
        <v>521.85424500000011</v>
      </c>
      <c r="F20" s="31">
        <f t="shared" si="2"/>
        <v>1353.235236</v>
      </c>
      <c r="G20" s="52">
        <f>SUM(F19:F20)/F25</f>
        <v>5.6450971647015999E-2</v>
      </c>
      <c r="I20" s="51"/>
    </row>
    <row r="21" spans="1:9" x14ac:dyDescent="0.3">
      <c r="B21" s="29" t="s">
        <v>52</v>
      </c>
      <c r="C21" s="29" t="s">
        <v>26</v>
      </c>
      <c r="D21" s="31">
        <f>D7*D13*10000/1000</f>
        <v>2375.0683166666663</v>
      </c>
      <c r="E21" s="31">
        <f>E7*E13*10000/1000</f>
        <v>1235.4677999999999</v>
      </c>
      <c r="F21" s="31">
        <f t="shared" si="2"/>
        <v>3610.5361166666662</v>
      </c>
      <c r="G21" s="39" t="s">
        <v>121</v>
      </c>
      <c r="I21" s="51"/>
    </row>
    <row r="22" spans="1:9" x14ac:dyDescent="0.3">
      <c r="B22" s="29" t="s">
        <v>53</v>
      </c>
      <c r="C22" s="29" t="s">
        <v>26</v>
      </c>
      <c r="D22" s="31">
        <f t="shared" ref="D22" si="3">D8*D14*10000/1000</f>
        <v>668.19164999999998</v>
      </c>
      <c r="E22" s="31">
        <f>D8*E14*10000/1000</f>
        <v>340.23555000000005</v>
      </c>
      <c r="F22" s="31">
        <f t="shared" si="2"/>
        <v>1008.4272000000001</v>
      </c>
      <c r="G22" s="52">
        <f>SUM(F21:F22)/F25</f>
        <v>4.4576085855749785E-2</v>
      </c>
      <c r="I22" s="51"/>
    </row>
    <row r="23" spans="1:9" x14ac:dyDescent="0.3">
      <c r="B23" s="29" t="s">
        <v>54</v>
      </c>
      <c r="C23" s="29" t="s">
        <v>26</v>
      </c>
      <c r="D23" s="32">
        <f>D9*D15/1000</f>
        <v>452.67</v>
      </c>
      <c r="E23" s="32">
        <f>E9*E15/1000</f>
        <v>497.7</v>
      </c>
      <c r="F23" s="31">
        <f>SUM(D23:E23)</f>
        <v>950.37</v>
      </c>
      <c r="G23" s="39" t="s">
        <v>120</v>
      </c>
      <c r="I23" s="51"/>
    </row>
    <row r="24" spans="1:9" x14ac:dyDescent="0.3">
      <c r="G24" s="36">
        <f>F23/F25</f>
        <v>9.1717062488604652E-3</v>
      </c>
      <c r="H24" s="53"/>
      <c r="I24" s="54"/>
    </row>
    <row r="25" spans="1:9" x14ac:dyDescent="0.3">
      <c r="B25" s="29" t="s">
        <v>55</v>
      </c>
      <c r="C25" s="29" t="s">
        <v>26</v>
      </c>
      <c r="D25" s="31">
        <f>SUM(D17:D23)</f>
        <v>37351.704875666663</v>
      </c>
      <c r="E25" s="31">
        <f t="shared" ref="E25" si="4">SUM(E17:E23)</f>
        <v>66268.055091905175</v>
      </c>
      <c r="F25" s="31">
        <f>SUM(F17:F23)</f>
        <v>103619.75996757182</v>
      </c>
    </row>
    <row r="27" spans="1:9" x14ac:dyDescent="0.3">
      <c r="B27" s="34" t="s">
        <v>100</v>
      </c>
      <c r="C27" s="34"/>
      <c r="D27" s="34"/>
      <c r="E27" s="34"/>
      <c r="F27" s="41">
        <f>F25/6406</f>
        <v>16.175423035836999</v>
      </c>
      <c r="G27" s="32"/>
      <c r="H27" s="32"/>
    </row>
    <row r="29" spans="1:9" x14ac:dyDescent="0.3">
      <c r="B29" s="34" t="s">
        <v>56</v>
      </c>
      <c r="C29" s="34" t="s">
        <v>26</v>
      </c>
      <c r="D29" s="34"/>
      <c r="E29" s="34"/>
      <c r="F29" s="42">
        <f>SUM(F17:F20)</f>
        <v>98050.426650905152</v>
      </c>
    </row>
    <row r="30" spans="1:9" x14ac:dyDescent="0.3">
      <c r="B30" s="34" t="s">
        <v>57</v>
      </c>
      <c r="C30" s="34" t="s">
        <v>26</v>
      </c>
      <c r="D30" s="34"/>
      <c r="E30" s="34"/>
      <c r="F30" s="42">
        <f>SUM(F21:F23)</f>
        <v>5569.3333166666662</v>
      </c>
    </row>
    <row r="32" spans="1:9" x14ac:dyDescent="0.3">
      <c r="D32" s="32"/>
      <c r="E32" s="32"/>
    </row>
  </sheetData>
  <mergeCells count="2">
    <mergeCell ref="J9:K10"/>
    <mergeCell ref="G4:I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71DE-DEC9-4709-AE85-027CEEB99797}">
  <dimension ref="A1:U28"/>
  <sheetViews>
    <sheetView zoomScale="85" zoomScaleNormal="85" workbookViewId="0">
      <pane xSplit="2" topLeftCell="E1" activePane="topRight" state="frozen"/>
      <selection pane="topRight" activeCell="B29" sqref="B29"/>
    </sheetView>
  </sheetViews>
  <sheetFormatPr defaultColWidth="9.33203125" defaultRowHeight="15.6" x14ac:dyDescent="0.3"/>
  <cols>
    <col min="1" max="1" width="17" style="1" customWidth="1"/>
    <col min="2" max="2" width="28.44140625" style="1" customWidth="1"/>
    <col min="3" max="3" width="16.5546875" style="1" customWidth="1"/>
    <col min="4" max="16384" width="9.33203125" style="1"/>
  </cols>
  <sheetData>
    <row r="1" spans="1:21" x14ac:dyDescent="0.3">
      <c r="B1" s="66" t="s">
        <v>102</v>
      </c>
    </row>
    <row r="2" spans="1:21" x14ac:dyDescent="0.3">
      <c r="D2" s="1" t="s">
        <v>58</v>
      </c>
      <c r="P2" s="1" t="s">
        <v>2</v>
      </c>
    </row>
    <row r="3" spans="1:21" x14ac:dyDescent="0.3">
      <c r="D3" s="1" t="s">
        <v>3</v>
      </c>
      <c r="H3" s="1" t="s">
        <v>4</v>
      </c>
      <c r="L3" s="1" t="s">
        <v>5</v>
      </c>
      <c r="P3" s="2" t="s">
        <v>3</v>
      </c>
      <c r="Q3" s="2"/>
      <c r="R3" s="2" t="s">
        <v>4</v>
      </c>
      <c r="S3" s="2"/>
      <c r="T3" s="2" t="s">
        <v>5</v>
      </c>
      <c r="U3" s="2"/>
    </row>
    <row r="4" spans="1:21" x14ac:dyDescent="0.3">
      <c r="B4" s="1" t="s">
        <v>7</v>
      </c>
      <c r="C4" s="1" t="s">
        <v>8</v>
      </c>
      <c r="D4" s="1" t="s">
        <v>9</v>
      </c>
      <c r="F4" s="1" t="s">
        <v>10</v>
      </c>
      <c r="H4" s="1" t="s">
        <v>9</v>
      </c>
      <c r="J4" s="1" t="s">
        <v>10</v>
      </c>
      <c r="L4" s="1" t="s">
        <v>9</v>
      </c>
      <c r="N4" s="1" t="s">
        <v>10</v>
      </c>
      <c r="P4" s="1" t="s">
        <v>11</v>
      </c>
      <c r="Q4" s="1" t="s">
        <v>12</v>
      </c>
      <c r="R4" s="1" t="s">
        <v>11</v>
      </c>
      <c r="S4" s="1" t="s">
        <v>12</v>
      </c>
      <c r="T4" s="1" t="s">
        <v>11</v>
      </c>
      <c r="U4" s="1" t="s">
        <v>12</v>
      </c>
    </row>
    <row r="5" spans="1:21" x14ac:dyDescent="0.3">
      <c r="D5" s="1" t="s">
        <v>11</v>
      </c>
      <c r="E5" s="1" t="s">
        <v>12</v>
      </c>
      <c r="F5" s="1" t="s">
        <v>11</v>
      </c>
      <c r="G5" s="1" t="s">
        <v>12</v>
      </c>
      <c r="H5" s="1" t="s">
        <v>11</v>
      </c>
      <c r="I5" s="1" t="s">
        <v>12</v>
      </c>
      <c r="J5" s="1" t="s">
        <v>11</v>
      </c>
      <c r="K5" s="1" t="s">
        <v>12</v>
      </c>
      <c r="L5" s="1" t="s">
        <v>11</v>
      </c>
      <c r="M5" s="1" t="s">
        <v>12</v>
      </c>
      <c r="N5" s="1" t="s">
        <v>11</v>
      </c>
      <c r="O5" s="1" t="s">
        <v>12</v>
      </c>
      <c r="P5" s="2"/>
      <c r="Q5" s="2"/>
      <c r="R5" s="2"/>
      <c r="S5" s="2"/>
      <c r="T5" s="2"/>
      <c r="U5" s="2"/>
    </row>
    <row r="6" spans="1:21" x14ac:dyDescent="0.3">
      <c r="A6" s="1" t="s">
        <v>13</v>
      </c>
      <c r="B6" s="1" t="s">
        <v>125</v>
      </c>
      <c r="C6" s="1">
        <v>9</v>
      </c>
      <c r="D6" s="3">
        <v>24.636666666666699</v>
      </c>
      <c r="E6" s="3">
        <v>7.1554874047824315</v>
      </c>
      <c r="F6" s="3">
        <v>23.444444444444446</v>
      </c>
      <c r="G6" s="3">
        <v>6.78109156240924</v>
      </c>
      <c r="H6" s="3">
        <v>8.4266666666666676</v>
      </c>
      <c r="I6" s="3">
        <v>2.2664344243767562</v>
      </c>
      <c r="J6" s="3">
        <v>7.8977777777777769</v>
      </c>
      <c r="K6" s="3">
        <v>2.1020928724593606</v>
      </c>
      <c r="L6" s="3">
        <v>7.41</v>
      </c>
      <c r="M6" s="3">
        <v>1.1784735890124991</v>
      </c>
      <c r="N6" s="3">
        <v>6.9355555555555553</v>
      </c>
      <c r="O6" s="3">
        <v>1.1380038566620847</v>
      </c>
      <c r="P6" s="4">
        <v>6.5882222222222229</v>
      </c>
      <c r="Q6" s="4">
        <v>0.27836342152740629</v>
      </c>
      <c r="R6" s="4">
        <v>7.2022222222222219</v>
      </c>
      <c r="S6" s="4">
        <v>0.61376477126375095</v>
      </c>
      <c r="T6" s="4">
        <v>7.2506666666666666</v>
      </c>
      <c r="U6" s="4">
        <v>0.69101899395023836</v>
      </c>
    </row>
    <row r="7" spans="1:21" x14ac:dyDescent="0.3">
      <c r="B7" s="1" t="s">
        <v>126</v>
      </c>
      <c r="C7" s="1">
        <v>30</v>
      </c>
      <c r="D7" s="3">
        <v>18.264666666666663</v>
      </c>
      <c r="E7" s="3">
        <v>4.8245069309139534</v>
      </c>
      <c r="F7" s="3">
        <v>17.207999999999998</v>
      </c>
      <c r="G7" s="3">
        <v>4.5837293956355891</v>
      </c>
      <c r="H7" s="3">
        <v>8.4066666666666645</v>
      </c>
      <c r="I7" s="3">
        <v>3.0183522946655255</v>
      </c>
      <c r="J7" s="3">
        <v>7.7569999999999997</v>
      </c>
      <c r="K7" s="3">
        <v>2.6733694998556823</v>
      </c>
      <c r="L7" s="3">
        <v>7.6703571428571422</v>
      </c>
      <c r="M7" s="3">
        <v>3.6413107958768522</v>
      </c>
      <c r="N7" s="3">
        <v>6.6135714285714275</v>
      </c>
      <c r="O7" s="3">
        <v>2.9752276156757089</v>
      </c>
      <c r="P7" s="4">
        <v>6.7693333333333339</v>
      </c>
      <c r="Q7" s="4">
        <v>0.40810388580506735</v>
      </c>
      <c r="R7" s="4">
        <v>7.3359666666666659</v>
      </c>
      <c r="S7" s="4">
        <v>0.43791216906600333</v>
      </c>
      <c r="T7" s="4">
        <v>7.5381071428571431</v>
      </c>
      <c r="U7" s="4">
        <v>0.6275490442268663</v>
      </c>
    </row>
    <row r="8" spans="1:21" x14ac:dyDescent="0.3">
      <c r="B8" s="1" t="s">
        <v>14</v>
      </c>
      <c r="C8" s="1">
        <v>10</v>
      </c>
      <c r="D8" s="2">
        <v>29.49</v>
      </c>
      <c r="E8" s="2">
        <v>12.68</v>
      </c>
      <c r="F8" s="2">
        <v>28.21</v>
      </c>
      <c r="G8" s="2">
        <v>12.43</v>
      </c>
      <c r="H8" s="2">
        <v>12.47</v>
      </c>
      <c r="I8" s="2">
        <v>4.78</v>
      </c>
      <c r="J8" s="2">
        <v>11.71</v>
      </c>
      <c r="K8" s="2">
        <v>4.62</v>
      </c>
      <c r="L8" s="2">
        <v>9.0299999999999994</v>
      </c>
      <c r="M8" s="2">
        <v>2.2999999999999998</v>
      </c>
      <c r="N8" s="2">
        <v>8.4600000000000009</v>
      </c>
      <c r="O8" s="2">
        <v>2.2000000000000002</v>
      </c>
      <c r="P8" s="5">
        <v>5.12</v>
      </c>
      <c r="Q8" s="2">
        <v>0.85</v>
      </c>
      <c r="R8" s="5">
        <v>5.53</v>
      </c>
      <c r="S8" s="2">
        <v>0.7</v>
      </c>
      <c r="T8" s="5">
        <v>6.03</v>
      </c>
      <c r="U8" s="2">
        <v>0.68</v>
      </c>
    </row>
    <row r="9" spans="1:21" x14ac:dyDescent="0.3">
      <c r="B9" s="1" t="s">
        <v>15</v>
      </c>
      <c r="C9" s="1">
        <v>6</v>
      </c>
      <c r="D9" s="2">
        <v>23.75</v>
      </c>
      <c r="E9" s="2">
        <v>7.71</v>
      </c>
      <c r="F9" s="2">
        <v>22.57</v>
      </c>
      <c r="G9" s="2">
        <v>7.47</v>
      </c>
      <c r="H9" s="2">
        <v>10.68</v>
      </c>
      <c r="I9" s="2">
        <v>2.71</v>
      </c>
      <c r="J9" s="2">
        <v>10.07</v>
      </c>
      <c r="K9" s="2">
        <v>2.59</v>
      </c>
      <c r="L9" s="2">
        <v>9.74</v>
      </c>
      <c r="M9" s="2">
        <v>2.64</v>
      </c>
      <c r="N9" s="2">
        <v>9.02</v>
      </c>
      <c r="O9" s="2">
        <v>2.4900000000000002</v>
      </c>
      <c r="P9" s="5">
        <v>4.7</v>
      </c>
      <c r="Q9" s="2">
        <v>0.24</v>
      </c>
      <c r="R9" s="5">
        <v>5.41</v>
      </c>
      <c r="S9" s="2">
        <v>0.44</v>
      </c>
      <c r="T9" s="5">
        <v>6.03</v>
      </c>
      <c r="U9" s="2">
        <v>0.68</v>
      </c>
    </row>
    <row r="10" spans="1:21" x14ac:dyDescent="0.3">
      <c r="B10" s="1" t="s">
        <v>16</v>
      </c>
      <c r="C10" s="1">
        <v>10</v>
      </c>
      <c r="D10" s="2">
        <v>29.18</v>
      </c>
      <c r="E10" s="2">
        <v>9.77</v>
      </c>
      <c r="F10" s="2">
        <v>27.87</v>
      </c>
      <c r="G10" s="2">
        <v>9.51</v>
      </c>
      <c r="H10" s="2">
        <v>12.79</v>
      </c>
      <c r="I10" s="2">
        <v>4.91</v>
      </c>
      <c r="J10" s="2">
        <v>12.07</v>
      </c>
      <c r="K10" s="2">
        <v>4.72</v>
      </c>
      <c r="L10" s="2">
        <v>9.51</v>
      </c>
      <c r="M10" s="2">
        <v>2.72</v>
      </c>
      <c r="N10" s="2">
        <v>8.84</v>
      </c>
      <c r="O10" s="2">
        <v>2.6</v>
      </c>
      <c r="P10" s="5">
        <v>4.74</v>
      </c>
      <c r="Q10" s="2">
        <v>0.46</v>
      </c>
      <c r="R10" s="5">
        <v>5.33</v>
      </c>
      <c r="S10" s="2">
        <v>0.59</v>
      </c>
      <c r="T10" s="5">
        <v>5.95</v>
      </c>
      <c r="U10" s="2">
        <v>0.81</v>
      </c>
    </row>
    <row r="11" spans="1:21" x14ac:dyDescent="0.3">
      <c r="B11" s="1" t="s">
        <v>17</v>
      </c>
      <c r="C11" s="1">
        <v>6</v>
      </c>
      <c r="D11" s="2">
        <v>24.27</v>
      </c>
      <c r="E11" s="2">
        <v>13.55</v>
      </c>
      <c r="F11" s="2">
        <v>23.14</v>
      </c>
      <c r="G11" s="2">
        <v>13.35</v>
      </c>
      <c r="H11" s="2">
        <v>10.16</v>
      </c>
      <c r="I11" s="2">
        <v>1.53</v>
      </c>
      <c r="J11" s="2">
        <v>9.4600000000000009</v>
      </c>
      <c r="K11" s="2">
        <v>1.37</v>
      </c>
      <c r="L11" s="2">
        <v>8.94</v>
      </c>
      <c r="M11" s="2">
        <v>1.82</v>
      </c>
      <c r="N11" s="2">
        <v>8.3800000000000008</v>
      </c>
      <c r="O11" s="2">
        <v>1.68</v>
      </c>
      <c r="P11" s="5">
        <v>5.33</v>
      </c>
      <c r="Q11" s="2">
        <v>0.93</v>
      </c>
      <c r="R11" s="5">
        <v>5.75</v>
      </c>
      <c r="S11" s="2">
        <v>0.56999999999999995</v>
      </c>
      <c r="T11" s="5">
        <v>6.15</v>
      </c>
      <c r="U11" s="2">
        <v>0.3</v>
      </c>
    </row>
    <row r="12" spans="1:21" x14ac:dyDescent="0.3">
      <c r="A12" s="1" t="s">
        <v>18</v>
      </c>
      <c r="B12" s="1" t="s">
        <v>125</v>
      </c>
      <c r="C12" s="1">
        <v>2</v>
      </c>
      <c r="D12" s="6">
        <v>38.414000000000001</v>
      </c>
      <c r="E12" s="6">
        <v>9.8768675196136986</v>
      </c>
      <c r="F12" s="6">
        <v>32.298000000000002</v>
      </c>
      <c r="G12" s="6">
        <v>3.7405948724768359</v>
      </c>
      <c r="H12" s="6">
        <v>11.488</v>
      </c>
      <c r="I12" s="6">
        <v>5.5210897475045631</v>
      </c>
      <c r="J12" s="6">
        <v>9.923</v>
      </c>
      <c r="K12" s="6">
        <v>4.3048660838637023</v>
      </c>
      <c r="L12" s="6">
        <v>7.1890000000000001</v>
      </c>
      <c r="M12" s="2" t="s">
        <v>39</v>
      </c>
      <c r="N12" s="6">
        <v>6.1529999999999996</v>
      </c>
      <c r="O12" s="2" t="s">
        <v>39</v>
      </c>
      <c r="P12" s="4">
        <v>5.6575000000000006</v>
      </c>
      <c r="Q12" s="4">
        <v>0.33870414818835637</v>
      </c>
      <c r="R12" s="4">
        <v>6.8525</v>
      </c>
      <c r="S12" s="4">
        <v>1.1476343058657663</v>
      </c>
      <c r="T12" s="4">
        <v>7.8390000000000004</v>
      </c>
      <c r="U12" s="2" t="s">
        <v>19</v>
      </c>
    </row>
    <row r="13" spans="1:21" x14ac:dyDescent="0.3">
      <c r="B13" s="1" t="s">
        <v>126</v>
      </c>
      <c r="C13" s="1">
        <v>29</v>
      </c>
      <c r="D13" s="6">
        <v>23.075655172413793</v>
      </c>
      <c r="E13" s="6">
        <v>4.9596805504549959</v>
      </c>
      <c r="F13" s="6">
        <v>20.959103448275862</v>
      </c>
      <c r="G13" s="6">
        <v>4.4331988317436659</v>
      </c>
      <c r="H13" s="6">
        <v>9.0749655172413775</v>
      </c>
      <c r="I13" s="6">
        <v>2.5367852615178497</v>
      </c>
      <c r="J13" s="6">
        <v>7.8297586206896543</v>
      </c>
      <c r="K13" s="6">
        <v>2.498891720845926</v>
      </c>
      <c r="L13" s="6">
        <v>8.3752500000000012</v>
      </c>
      <c r="M13" s="6">
        <v>5.2541224211724131</v>
      </c>
      <c r="N13" s="6">
        <v>6.211392857142858</v>
      </c>
      <c r="O13" s="6">
        <v>2.2367371464187098</v>
      </c>
      <c r="P13" s="4">
        <v>6.6584827586206901</v>
      </c>
      <c r="Q13" s="4">
        <v>0.36914192205802049</v>
      </c>
      <c r="R13" s="4">
        <v>7.302862068965517</v>
      </c>
      <c r="S13" s="4">
        <v>0.4332386116002136</v>
      </c>
      <c r="T13" s="4">
        <v>7.5813571428571436</v>
      </c>
      <c r="U13" s="4">
        <v>0.45258657565775007</v>
      </c>
    </row>
    <row r="14" spans="1:21" x14ac:dyDescent="0.3">
      <c r="B14" s="1" t="s">
        <v>14</v>
      </c>
      <c r="C14" s="1">
        <v>5</v>
      </c>
      <c r="D14" s="2">
        <v>30.37</v>
      </c>
      <c r="E14" s="2">
        <v>12.28</v>
      </c>
      <c r="F14" s="2">
        <v>28.69</v>
      </c>
      <c r="G14" s="2">
        <v>11.96</v>
      </c>
      <c r="H14" s="2">
        <v>11.83</v>
      </c>
      <c r="I14" s="2">
        <v>2.0699999999999998</v>
      </c>
      <c r="J14" s="2">
        <v>10.86</v>
      </c>
      <c r="K14" s="2">
        <v>1.69</v>
      </c>
      <c r="L14" s="2">
        <v>13.27</v>
      </c>
      <c r="M14" s="2">
        <v>6.68</v>
      </c>
      <c r="N14" s="2">
        <v>12.27</v>
      </c>
      <c r="O14" s="2">
        <v>6.5</v>
      </c>
      <c r="P14" s="5">
        <v>5.6</v>
      </c>
      <c r="Q14" s="2">
        <v>1.2</v>
      </c>
      <c r="R14" s="5">
        <v>6.69</v>
      </c>
      <c r="S14" s="2">
        <v>0.6</v>
      </c>
      <c r="T14" s="5">
        <v>6.51</v>
      </c>
      <c r="U14" s="2">
        <v>1.04</v>
      </c>
    </row>
    <row r="15" spans="1:21" x14ac:dyDescent="0.3">
      <c r="B15" s="1" t="s">
        <v>15</v>
      </c>
      <c r="C15" s="1">
        <v>11</v>
      </c>
      <c r="D15" s="2">
        <v>28.39</v>
      </c>
      <c r="E15" s="2">
        <v>11.44</v>
      </c>
      <c r="F15" s="2">
        <v>26.54</v>
      </c>
      <c r="G15" s="2">
        <v>10.79</v>
      </c>
      <c r="H15" s="2">
        <v>15.35</v>
      </c>
      <c r="I15" s="2">
        <v>4.59</v>
      </c>
      <c r="J15" s="2">
        <v>13.9</v>
      </c>
      <c r="K15" s="2">
        <v>4.6100000000000003</v>
      </c>
      <c r="L15" s="2">
        <v>10.71</v>
      </c>
      <c r="M15" s="2">
        <v>2.63</v>
      </c>
      <c r="N15" s="2">
        <v>9.74</v>
      </c>
      <c r="O15" s="2">
        <v>2.06</v>
      </c>
      <c r="P15" s="5">
        <v>5.49</v>
      </c>
      <c r="Q15" s="2">
        <v>0.84</v>
      </c>
      <c r="R15" s="5">
        <v>6.36</v>
      </c>
      <c r="S15" s="2">
        <v>1.04</v>
      </c>
      <c r="T15" s="5">
        <v>6.88</v>
      </c>
      <c r="U15" s="2">
        <v>0.56000000000000005</v>
      </c>
    </row>
    <row r="16" spans="1:21" x14ac:dyDescent="0.3">
      <c r="B16" s="1" t="s">
        <v>20</v>
      </c>
      <c r="C16" s="1">
        <v>16</v>
      </c>
      <c r="D16" s="2">
        <v>25.3</v>
      </c>
      <c r="E16" s="2">
        <v>7.1</v>
      </c>
      <c r="F16" s="2">
        <v>22.55</v>
      </c>
      <c r="G16" s="2">
        <v>5.21</v>
      </c>
      <c r="H16" s="2">
        <v>9.7100000000000009</v>
      </c>
      <c r="I16" s="2">
        <v>3.35</v>
      </c>
      <c r="J16" s="2">
        <v>8.4600000000000009</v>
      </c>
      <c r="K16" s="2">
        <v>2.77</v>
      </c>
      <c r="L16" s="2">
        <v>7.94</v>
      </c>
      <c r="M16" s="2">
        <v>4.93</v>
      </c>
      <c r="N16" s="2">
        <v>6.09</v>
      </c>
      <c r="O16" s="2">
        <v>2.75</v>
      </c>
      <c r="P16" s="7">
        <v>6.5</v>
      </c>
      <c r="Q16" s="2">
        <v>0.45</v>
      </c>
      <c r="R16" s="8">
        <v>7.09</v>
      </c>
      <c r="S16" s="2">
        <v>0.49</v>
      </c>
      <c r="T16" s="8">
        <v>7.36</v>
      </c>
      <c r="U16" s="2">
        <v>0.42</v>
      </c>
    </row>
    <row r="17" spans="2:21" x14ac:dyDescent="0.3">
      <c r="B17" s="1" t="s">
        <v>21</v>
      </c>
      <c r="C17" s="1">
        <v>15</v>
      </c>
      <c r="D17" s="2">
        <v>22.75</v>
      </c>
      <c r="E17" s="2">
        <v>5.48</v>
      </c>
      <c r="F17" s="2">
        <v>20.77</v>
      </c>
      <c r="G17" s="2">
        <v>5.18</v>
      </c>
      <c r="H17" s="2">
        <v>8.7200000000000006</v>
      </c>
      <c r="I17" s="2">
        <v>1.81</v>
      </c>
      <c r="J17" s="2">
        <v>7.44</v>
      </c>
      <c r="K17" s="2">
        <v>2.36</v>
      </c>
      <c r="L17" s="2">
        <v>8.82</v>
      </c>
      <c r="M17" s="2">
        <v>5.6</v>
      </c>
      <c r="N17" s="2">
        <v>6.36</v>
      </c>
      <c r="O17" s="2">
        <v>1.34</v>
      </c>
      <c r="P17" s="8">
        <v>6.69</v>
      </c>
      <c r="Q17" s="2">
        <v>0.41</v>
      </c>
      <c r="R17" s="8">
        <v>7.47</v>
      </c>
      <c r="S17" s="2">
        <v>0.4</v>
      </c>
      <c r="T17" s="8">
        <v>7.88</v>
      </c>
      <c r="U17" s="2">
        <v>0.28000000000000003</v>
      </c>
    </row>
    <row r="19" spans="2:21" x14ac:dyDescent="0.3">
      <c r="C19" s="74" t="s">
        <v>107</v>
      </c>
      <c r="D19" s="75">
        <f>AVERAGE(D9*0.3,D15*0.3)</f>
        <v>7.8209999999999997</v>
      </c>
    </row>
    <row r="20" spans="2:21" x14ac:dyDescent="0.3">
      <c r="C20" s="74" t="s">
        <v>108</v>
      </c>
      <c r="D20" s="75">
        <f>AVERAGE(D8*0.3,D14*0.3)</f>
        <v>8.9789999999999992</v>
      </c>
    </row>
    <row r="21" spans="2:21" x14ac:dyDescent="0.3">
      <c r="D21" s="2"/>
    </row>
    <row r="22" spans="2:21" x14ac:dyDescent="0.3">
      <c r="C22" s="74"/>
      <c r="D22" s="2"/>
    </row>
    <row r="23" spans="2:21" x14ac:dyDescent="0.3">
      <c r="D23" s="2"/>
    </row>
    <row r="24" spans="2:21" x14ac:dyDescent="0.3">
      <c r="D24" s="2"/>
    </row>
    <row r="25" spans="2:21" x14ac:dyDescent="0.3">
      <c r="D25" s="2"/>
    </row>
    <row r="26" spans="2:21" x14ac:dyDescent="0.3">
      <c r="D26" s="2"/>
    </row>
    <row r="27" spans="2:21" x14ac:dyDescent="0.3">
      <c r="D27" s="2"/>
    </row>
    <row r="28" spans="2:21" x14ac:dyDescent="0.3">
      <c r="D2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34A6-1F57-4937-9DA4-AFC9B4F55960}">
  <dimension ref="A1:U46"/>
  <sheetViews>
    <sheetView zoomScale="85" zoomScaleNormal="85" workbookViewId="0">
      <pane xSplit="2" topLeftCell="C1" activePane="topRight" state="frozen"/>
      <selection pane="topRight" activeCell="D26" sqref="D26"/>
    </sheetView>
  </sheetViews>
  <sheetFormatPr defaultColWidth="9.33203125" defaultRowHeight="15.6" x14ac:dyDescent="0.3"/>
  <cols>
    <col min="1" max="1" width="17" style="1" customWidth="1"/>
    <col min="2" max="2" width="41.88671875" style="1" customWidth="1"/>
    <col min="3" max="3" width="16.33203125" style="1" customWidth="1"/>
    <col min="4" max="4" width="11.109375" style="1" bestFit="1" customWidth="1"/>
    <col min="5" max="5" width="10" style="1" bestFit="1" customWidth="1"/>
    <col min="6" max="7" width="9.33203125" style="1"/>
    <col min="8" max="8" width="11.109375" style="1" bestFit="1" customWidth="1"/>
    <col min="9" max="9" width="10" style="1" bestFit="1" customWidth="1"/>
    <col min="10" max="11" width="9.33203125" style="1"/>
    <col min="12" max="12" width="11.109375" style="1" bestFit="1" customWidth="1"/>
    <col min="13" max="13" width="10" style="1" bestFit="1" customWidth="1"/>
    <col min="14" max="16384" width="9.33203125" style="1"/>
  </cols>
  <sheetData>
    <row r="1" spans="1:21" x14ac:dyDescent="0.3">
      <c r="D1" s="1" t="s">
        <v>1</v>
      </c>
      <c r="P1" s="1" t="s">
        <v>2</v>
      </c>
    </row>
    <row r="2" spans="1:21" x14ac:dyDescent="0.3">
      <c r="D2" s="1" t="s">
        <v>3</v>
      </c>
      <c r="H2" s="1" t="s">
        <v>4</v>
      </c>
      <c r="L2" s="1" t="s">
        <v>5</v>
      </c>
      <c r="P2" s="2" t="s">
        <v>3</v>
      </c>
      <c r="Q2" s="2"/>
      <c r="R2" s="2" t="s">
        <v>4</v>
      </c>
      <c r="S2" s="2"/>
      <c r="T2" s="2" t="s">
        <v>5</v>
      </c>
      <c r="U2" s="2"/>
    </row>
    <row r="3" spans="1:21" x14ac:dyDescent="0.3">
      <c r="A3" s="1" t="s">
        <v>6</v>
      </c>
      <c r="B3" s="1" t="s">
        <v>7</v>
      </c>
      <c r="C3" s="1" t="s">
        <v>8</v>
      </c>
      <c r="D3" s="1" t="s">
        <v>9</v>
      </c>
      <c r="F3" s="1" t="s">
        <v>10</v>
      </c>
      <c r="H3" s="1" t="s">
        <v>9</v>
      </c>
      <c r="J3" s="1" t="s">
        <v>10</v>
      </c>
      <c r="L3" s="1" t="s">
        <v>9</v>
      </c>
      <c r="N3" s="1" t="s">
        <v>10</v>
      </c>
      <c r="P3" s="1" t="s">
        <v>11</v>
      </c>
      <c r="Q3" s="1" t="s">
        <v>12</v>
      </c>
      <c r="R3" s="1" t="s">
        <v>11</v>
      </c>
      <c r="S3" s="1" t="s">
        <v>12</v>
      </c>
      <c r="T3" s="1" t="s">
        <v>11</v>
      </c>
      <c r="U3" s="1" t="s">
        <v>12</v>
      </c>
    </row>
    <row r="4" spans="1:21" x14ac:dyDescent="0.3">
      <c r="D4" s="1" t="s">
        <v>11</v>
      </c>
      <c r="E4" s="1" t="s">
        <v>12</v>
      </c>
      <c r="F4" s="1" t="s">
        <v>11</v>
      </c>
      <c r="G4" s="1" t="s">
        <v>12</v>
      </c>
      <c r="H4" s="1" t="s">
        <v>11</v>
      </c>
      <c r="I4" s="1" t="s">
        <v>12</v>
      </c>
      <c r="J4" s="1" t="s">
        <v>11</v>
      </c>
      <c r="K4" s="1" t="s">
        <v>12</v>
      </c>
      <c r="L4" s="1" t="s">
        <v>11</v>
      </c>
      <c r="M4" s="1" t="s">
        <v>12</v>
      </c>
      <c r="N4" s="1" t="s">
        <v>11</v>
      </c>
      <c r="O4" s="1" t="s">
        <v>12</v>
      </c>
      <c r="P4" s="2"/>
      <c r="Q4" s="2"/>
      <c r="R4" s="2"/>
      <c r="S4" s="2"/>
      <c r="T4" s="2"/>
      <c r="U4" s="2"/>
    </row>
    <row r="5" spans="1:21" x14ac:dyDescent="0.3">
      <c r="A5" s="1" t="s">
        <v>13</v>
      </c>
      <c r="B5" s="1" t="s">
        <v>125</v>
      </c>
      <c r="C5" s="1">
        <v>9</v>
      </c>
      <c r="D5" s="3">
        <v>24.636666666666699</v>
      </c>
      <c r="E5" s="3">
        <v>7.1554874047824315</v>
      </c>
      <c r="F5" s="3">
        <v>23.444444444444446</v>
      </c>
      <c r="G5" s="3">
        <v>6.78109156240924</v>
      </c>
      <c r="H5" s="3">
        <v>8.4266666666666676</v>
      </c>
      <c r="I5" s="3">
        <v>2.2664344243767562</v>
      </c>
      <c r="J5" s="3">
        <v>7.8977777777777769</v>
      </c>
      <c r="K5" s="3">
        <v>2.1020928724593606</v>
      </c>
      <c r="L5" s="3">
        <v>7.41</v>
      </c>
      <c r="M5" s="3">
        <v>1.1784735890124991</v>
      </c>
      <c r="N5" s="3">
        <v>6.9355555555555553</v>
      </c>
      <c r="O5" s="3">
        <v>1.1380038566620847</v>
      </c>
      <c r="P5" s="4">
        <v>6.5882222222222229</v>
      </c>
      <c r="Q5" s="4">
        <v>0.27836342152740629</v>
      </c>
      <c r="R5" s="4">
        <v>7.2022222222222219</v>
      </c>
      <c r="S5" s="4">
        <v>0.61376477126375095</v>
      </c>
      <c r="T5" s="4">
        <v>7.2506666666666666</v>
      </c>
      <c r="U5" s="4">
        <v>0.69101899395023836</v>
      </c>
    </row>
    <row r="6" spans="1:21" x14ac:dyDescent="0.3">
      <c r="B6" s="1" t="s">
        <v>126</v>
      </c>
      <c r="C6" s="1">
        <v>30</v>
      </c>
      <c r="D6" s="3">
        <v>18.264666666666663</v>
      </c>
      <c r="E6" s="3">
        <v>4.8245069309139534</v>
      </c>
      <c r="F6" s="3">
        <v>17.207999999999998</v>
      </c>
      <c r="G6" s="3">
        <v>4.5837293956355891</v>
      </c>
      <c r="H6" s="3">
        <v>8.4066666666666645</v>
      </c>
      <c r="I6" s="3">
        <v>3.0183522946655255</v>
      </c>
      <c r="J6" s="3">
        <v>7.7569999999999997</v>
      </c>
      <c r="K6" s="3">
        <v>2.6733694998556823</v>
      </c>
      <c r="L6" s="3">
        <v>7.6703571428571422</v>
      </c>
      <c r="M6" s="3">
        <v>3.6413107958768522</v>
      </c>
      <c r="N6" s="3">
        <v>6.6135714285714275</v>
      </c>
      <c r="O6" s="3">
        <v>2.9752276156757089</v>
      </c>
      <c r="P6" s="4">
        <v>6.7693333333333339</v>
      </c>
      <c r="Q6" s="4">
        <v>0.40810388580506735</v>
      </c>
      <c r="R6" s="4">
        <v>7.3359666666666659</v>
      </c>
      <c r="S6" s="4">
        <v>0.43791216906600333</v>
      </c>
      <c r="T6" s="4">
        <v>7.5381071428571431</v>
      </c>
      <c r="U6" s="4">
        <v>0.6275490442268663</v>
      </c>
    </row>
    <row r="7" spans="1:21" x14ac:dyDescent="0.3">
      <c r="B7" s="1" t="s">
        <v>14</v>
      </c>
      <c r="C7" s="1">
        <v>10</v>
      </c>
      <c r="D7" s="2">
        <v>29.49</v>
      </c>
      <c r="E7" s="2">
        <v>12.68</v>
      </c>
      <c r="F7" s="2">
        <v>28.21</v>
      </c>
      <c r="G7" s="2">
        <v>12.43</v>
      </c>
      <c r="H7" s="2">
        <v>12.47</v>
      </c>
      <c r="I7" s="2">
        <v>4.78</v>
      </c>
      <c r="J7" s="2">
        <v>11.71</v>
      </c>
      <c r="K7" s="2">
        <v>4.62</v>
      </c>
      <c r="L7" s="2">
        <v>9.0299999999999994</v>
      </c>
      <c r="M7" s="2">
        <v>2.2999999999999998</v>
      </c>
      <c r="N7" s="2">
        <v>8.4600000000000009</v>
      </c>
      <c r="O7" s="2">
        <v>2.2000000000000002</v>
      </c>
      <c r="P7" s="5">
        <v>5.12</v>
      </c>
      <c r="Q7" s="2">
        <v>0.85</v>
      </c>
      <c r="R7" s="5">
        <v>5.53</v>
      </c>
      <c r="S7" s="2">
        <v>0.7</v>
      </c>
      <c r="T7" s="5">
        <v>6.03</v>
      </c>
      <c r="U7" s="2">
        <v>0.68</v>
      </c>
    </row>
    <row r="8" spans="1:21" x14ac:dyDescent="0.3">
      <c r="B8" s="1" t="s">
        <v>15</v>
      </c>
      <c r="C8" s="1">
        <v>6</v>
      </c>
      <c r="D8" s="2">
        <v>23.75</v>
      </c>
      <c r="E8" s="2">
        <v>7.71</v>
      </c>
      <c r="F8" s="2">
        <v>22.57</v>
      </c>
      <c r="G8" s="2">
        <v>7.47</v>
      </c>
      <c r="H8" s="2">
        <v>10.68</v>
      </c>
      <c r="I8" s="2">
        <v>2.71</v>
      </c>
      <c r="J8" s="2">
        <v>10.07</v>
      </c>
      <c r="K8" s="2">
        <v>2.59</v>
      </c>
      <c r="L8" s="2">
        <v>9.74</v>
      </c>
      <c r="M8" s="2">
        <v>2.64</v>
      </c>
      <c r="N8" s="2">
        <v>9.02</v>
      </c>
      <c r="O8" s="2">
        <v>2.4900000000000002</v>
      </c>
      <c r="P8" s="5">
        <v>4.7</v>
      </c>
      <c r="Q8" s="2">
        <v>0.24</v>
      </c>
      <c r="R8" s="5">
        <v>5.41</v>
      </c>
      <c r="S8" s="2">
        <v>0.44</v>
      </c>
      <c r="T8" s="5">
        <v>6.03</v>
      </c>
      <c r="U8" s="2">
        <v>0.68</v>
      </c>
    </row>
    <row r="9" spans="1:21" x14ac:dyDescent="0.3">
      <c r="B9" s="1" t="s">
        <v>16</v>
      </c>
      <c r="C9" s="1">
        <v>10</v>
      </c>
      <c r="D9" s="2">
        <v>29.18</v>
      </c>
      <c r="E9" s="2">
        <v>9.77</v>
      </c>
      <c r="F9" s="2">
        <v>27.87</v>
      </c>
      <c r="G9" s="2">
        <v>9.51</v>
      </c>
      <c r="H9" s="2">
        <v>12.79</v>
      </c>
      <c r="I9" s="2">
        <v>4.91</v>
      </c>
      <c r="J9" s="2">
        <v>12.07</v>
      </c>
      <c r="K9" s="2">
        <v>4.72</v>
      </c>
      <c r="L9" s="2">
        <v>9.51</v>
      </c>
      <c r="M9" s="2">
        <v>2.72</v>
      </c>
      <c r="N9" s="2">
        <v>8.84</v>
      </c>
      <c r="O9" s="2">
        <v>2.6</v>
      </c>
      <c r="P9" s="5">
        <v>4.74</v>
      </c>
      <c r="Q9" s="2">
        <v>0.46</v>
      </c>
      <c r="R9" s="5">
        <v>5.33</v>
      </c>
      <c r="S9" s="2">
        <v>0.59</v>
      </c>
      <c r="T9" s="5">
        <v>5.95</v>
      </c>
      <c r="U9" s="2">
        <v>0.81</v>
      </c>
    </row>
    <row r="10" spans="1:21" x14ac:dyDescent="0.3">
      <c r="B10" s="1" t="s">
        <v>17</v>
      </c>
      <c r="C10" s="1">
        <v>6</v>
      </c>
      <c r="D10" s="2">
        <v>24.27</v>
      </c>
      <c r="E10" s="2">
        <v>13.55</v>
      </c>
      <c r="F10" s="2">
        <v>23.14</v>
      </c>
      <c r="G10" s="2">
        <v>13.35</v>
      </c>
      <c r="H10" s="2">
        <v>10.16</v>
      </c>
      <c r="I10" s="2">
        <v>1.53</v>
      </c>
      <c r="J10" s="2">
        <v>9.4600000000000009</v>
      </c>
      <c r="K10" s="2">
        <v>1.37</v>
      </c>
      <c r="L10" s="2">
        <v>8.94</v>
      </c>
      <c r="M10" s="2">
        <v>1.82</v>
      </c>
      <c r="N10" s="2">
        <v>8.3800000000000008</v>
      </c>
      <c r="O10" s="2">
        <v>1.68</v>
      </c>
      <c r="P10" s="5">
        <v>5.33</v>
      </c>
      <c r="Q10" s="2">
        <v>0.93</v>
      </c>
      <c r="R10" s="5">
        <v>5.75</v>
      </c>
      <c r="S10" s="2">
        <v>0.56999999999999995</v>
      </c>
      <c r="T10" s="5">
        <v>6.15</v>
      </c>
      <c r="U10" s="2">
        <v>0.3</v>
      </c>
    </row>
    <row r="11" spans="1:21" x14ac:dyDescent="0.3">
      <c r="A11" s="1" t="s">
        <v>18</v>
      </c>
      <c r="B11" s="1" t="s">
        <v>125</v>
      </c>
      <c r="C11" s="1">
        <v>2</v>
      </c>
      <c r="D11" s="6">
        <v>38.414000000000001</v>
      </c>
      <c r="E11" s="6">
        <v>9.8768675196136986</v>
      </c>
      <c r="F11" s="6">
        <v>32.298000000000002</v>
      </c>
      <c r="G11" s="6">
        <v>3.7405948724768359</v>
      </c>
      <c r="H11" s="6">
        <v>11.488</v>
      </c>
      <c r="I11" s="6">
        <v>5.5210897475045631</v>
      </c>
      <c r="J11" s="6">
        <v>9.923</v>
      </c>
      <c r="K11" s="6">
        <v>4.3048660838637023</v>
      </c>
      <c r="L11" s="6">
        <v>7.1890000000000001</v>
      </c>
      <c r="M11" s="2">
        <v>0</v>
      </c>
      <c r="N11" s="6">
        <v>6.1529999999999996</v>
      </c>
      <c r="O11" s="2" t="s">
        <v>19</v>
      </c>
      <c r="P11" s="4">
        <v>5.6575000000000006</v>
      </c>
      <c r="Q11" s="4">
        <v>0.33870414818835637</v>
      </c>
      <c r="R11" s="4">
        <v>6.8525</v>
      </c>
      <c r="S11" s="4">
        <v>1.1476343058657663</v>
      </c>
      <c r="T11" s="4">
        <v>7.8390000000000004</v>
      </c>
      <c r="U11" s="2" t="s">
        <v>19</v>
      </c>
    </row>
    <row r="12" spans="1:21" x14ac:dyDescent="0.3">
      <c r="B12" s="1" t="s">
        <v>126</v>
      </c>
      <c r="C12" s="1">
        <v>29</v>
      </c>
      <c r="D12" s="6">
        <v>23.075655172413793</v>
      </c>
      <c r="E12" s="6">
        <v>4.9596805504549959</v>
      </c>
      <c r="F12" s="6">
        <v>20.959103448275862</v>
      </c>
      <c r="G12" s="6">
        <v>4.4331988317436659</v>
      </c>
      <c r="H12" s="6">
        <v>9.0749655172413775</v>
      </c>
      <c r="I12" s="6">
        <v>2.5367852615178497</v>
      </c>
      <c r="J12" s="6">
        <v>7.8297586206896543</v>
      </c>
      <c r="K12" s="6">
        <v>2.498891720845926</v>
      </c>
      <c r="L12" s="6">
        <v>8.3752500000000012</v>
      </c>
      <c r="M12" s="6">
        <v>5.2541224211724131</v>
      </c>
      <c r="N12" s="6">
        <v>6.211392857142858</v>
      </c>
      <c r="O12" s="6">
        <v>2.2367371464187098</v>
      </c>
      <c r="P12" s="4">
        <v>6.6584827586206901</v>
      </c>
      <c r="Q12" s="4">
        <v>0.36914192205802049</v>
      </c>
      <c r="R12" s="4">
        <v>7.302862068965517</v>
      </c>
      <c r="S12" s="4">
        <v>0.4332386116002136</v>
      </c>
      <c r="T12" s="4">
        <v>7.5813571428571436</v>
      </c>
      <c r="U12" s="4">
        <v>0.45258657565775007</v>
      </c>
    </row>
    <row r="13" spans="1:21" x14ac:dyDescent="0.3">
      <c r="B13" s="1" t="s">
        <v>14</v>
      </c>
      <c r="C13" s="1">
        <v>5</v>
      </c>
      <c r="D13" s="2">
        <v>30.37</v>
      </c>
      <c r="E13" s="2">
        <v>12.28</v>
      </c>
      <c r="F13" s="2">
        <v>28.69</v>
      </c>
      <c r="G13" s="2">
        <v>11.96</v>
      </c>
      <c r="H13" s="2">
        <v>11.83</v>
      </c>
      <c r="I13" s="2">
        <v>2.0699999999999998</v>
      </c>
      <c r="J13" s="2">
        <v>10.86</v>
      </c>
      <c r="K13" s="2">
        <v>1.69</v>
      </c>
      <c r="L13" s="2">
        <v>13.27</v>
      </c>
      <c r="M13" s="2">
        <v>6.68</v>
      </c>
      <c r="N13" s="2">
        <v>12.27</v>
      </c>
      <c r="O13" s="2">
        <v>6.5</v>
      </c>
      <c r="P13" s="5">
        <v>5.6</v>
      </c>
      <c r="Q13" s="2">
        <v>1.2</v>
      </c>
      <c r="R13" s="5">
        <v>6.69</v>
      </c>
      <c r="S13" s="2">
        <v>0.6</v>
      </c>
      <c r="T13" s="5">
        <v>6.51</v>
      </c>
      <c r="U13" s="2">
        <v>1.04</v>
      </c>
    </row>
    <row r="14" spans="1:21" x14ac:dyDescent="0.3">
      <c r="B14" s="1" t="s">
        <v>15</v>
      </c>
      <c r="C14" s="1">
        <v>11</v>
      </c>
      <c r="D14" s="2">
        <v>28.39</v>
      </c>
      <c r="E14" s="2">
        <v>11.44</v>
      </c>
      <c r="F14" s="2">
        <v>26.54</v>
      </c>
      <c r="G14" s="2">
        <v>10.79</v>
      </c>
      <c r="H14" s="2">
        <v>15.35</v>
      </c>
      <c r="I14" s="2">
        <v>4.59</v>
      </c>
      <c r="J14" s="2">
        <v>13.9</v>
      </c>
      <c r="K14" s="2">
        <v>4.6100000000000003</v>
      </c>
      <c r="L14" s="2">
        <v>10.71</v>
      </c>
      <c r="M14" s="2">
        <v>2.63</v>
      </c>
      <c r="N14" s="2">
        <v>9.74</v>
      </c>
      <c r="O14" s="2">
        <v>2.06</v>
      </c>
      <c r="P14" s="5">
        <v>5.49</v>
      </c>
      <c r="Q14" s="2">
        <v>0.84</v>
      </c>
      <c r="R14" s="5">
        <v>6.36</v>
      </c>
      <c r="S14" s="2">
        <v>1.04</v>
      </c>
      <c r="T14" s="5">
        <v>6.88</v>
      </c>
      <c r="U14" s="2">
        <v>0.56000000000000005</v>
      </c>
    </row>
    <row r="15" spans="1:21" x14ac:dyDescent="0.3">
      <c r="B15" s="1" t="s">
        <v>20</v>
      </c>
      <c r="C15" s="1">
        <v>16</v>
      </c>
      <c r="D15" s="2">
        <v>25.3</v>
      </c>
      <c r="E15" s="2">
        <v>7.1</v>
      </c>
      <c r="F15" s="2">
        <v>22.55</v>
      </c>
      <c r="G15" s="2">
        <v>5.21</v>
      </c>
      <c r="H15" s="2">
        <v>9.7100000000000009</v>
      </c>
      <c r="I15" s="2">
        <v>3.35</v>
      </c>
      <c r="J15" s="2">
        <v>8.4600000000000009</v>
      </c>
      <c r="K15" s="2">
        <v>2.77</v>
      </c>
      <c r="L15" s="2">
        <v>7.94</v>
      </c>
      <c r="M15" s="2">
        <v>4.93</v>
      </c>
      <c r="N15" s="2">
        <v>6.09</v>
      </c>
      <c r="O15" s="2">
        <v>2.75</v>
      </c>
      <c r="P15" s="7">
        <v>6.5</v>
      </c>
      <c r="Q15" s="2">
        <v>0.45</v>
      </c>
      <c r="R15" s="8">
        <v>7.09</v>
      </c>
      <c r="S15" s="2">
        <v>0.49</v>
      </c>
      <c r="T15" s="8">
        <v>7.36</v>
      </c>
      <c r="U15" s="2">
        <v>0.42</v>
      </c>
    </row>
    <row r="16" spans="1:21" x14ac:dyDescent="0.3">
      <c r="B16" s="1" t="s">
        <v>21</v>
      </c>
      <c r="C16" s="1">
        <v>15</v>
      </c>
      <c r="D16" s="2">
        <v>22.75</v>
      </c>
      <c r="E16" s="2">
        <v>5.48</v>
      </c>
      <c r="F16" s="2">
        <v>20.77</v>
      </c>
      <c r="G16" s="2">
        <v>5.18</v>
      </c>
      <c r="H16" s="2">
        <v>8.7200000000000006</v>
      </c>
      <c r="I16" s="2">
        <v>1.81</v>
      </c>
      <c r="J16" s="2">
        <v>7.44</v>
      </c>
      <c r="K16" s="2">
        <v>2.36</v>
      </c>
      <c r="L16" s="2">
        <v>8.82</v>
      </c>
      <c r="M16" s="2">
        <v>5.6</v>
      </c>
      <c r="N16" s="2">
        <v>6.36</v>
      </c>
      <c r="O16" s="2">
        <v>1.34</v>
      </c>
      <c r="P16" s="8">
        <v>6.69</v>
      </c>
      <c r="Q16" s="2">
        <v>0.41</v>
      </c>
      <c r="R16" s="8">
        <v>7.47</v>
      </c>
      <c r="S16" s="2">
        <v>0.4</v>
      </c>
      <c r="T16" s="8">
        <v>7.88</v>
      </c>
      <c r="U16" s="2">
        <v>0.28000000000000003</v>
      </c>
    </row>
    <row r="19" spans="1:15" x14ac:dyDescent="0.3">
      <c r="B19" s="67" t="s">
        <v>0</v>
      </c>
    </row>
    <row r="20" spans="1:15" x14ac:dyDescent="0.3">
      <c r="A20" s="9" t="s">
        <v>13</v>
      </c>
      <c r="B20" s="10" t="s">
        <v>113</v>
      </c>
      <c r="C20" s="10" t="s">
        <v>22</v>
      </c>
      <c r="D20" s="11">
        <v>60.17</v>
      </c>
      <c r="E20" s="11">
        <v>60.17</v>
      </c>
      <c r="F20" s="11"/>
      <c r="G20" s="12"/>
      <c r="H20" s="11">
        <v>60.17</v>
      </c>
      <c r="I20" s="11">
        <v>60.17</v>
      </c>
      <c r="J20" s="12"/>
      <c r="K20" s="12"/>
      <c r="L20" s="11">
        <v>60.17</v>
      </c>
      <c r="M20" s="13">
        <v>60.17</v>
      </c>
    </row>
    <row r="21" spans="1:15" x14ac:dyDescent="0.3">
      <c r="A21" s="14"/>
      <c r="B21" s="15" t="s">
        <v>114</v>
      </c>
      <c r="C21" s="15" t="s">
        <v>22</v>
      </c>
      <c r="D21" s="16">
        <v>221.82999999999998</v>
      </c>
      <c r="E21" s="16">
        <v>221.82999999999998</v>
      </c>
      <c r="F21" s="16"/>
      <c r="H21" s="16">
        <v>221.82999999999998</v>
      </c>
      <c r="I21" s="16">
        <v>221.82999999999998</v>
      </c>
      <c r="L21" s="16">
        <v>221.82999999999998</v>
      </c>
      <c r="M21" s="17">
        <v>221.82999999999998</v>
      </c>
    </row>
    <row r="22" spans="1:15" x14ac:dyDescent="0.3">
      <c r="A22" s="14"/>
      <c r="B22" s="15" t="s">
        <v>23</v>
      </c>
      <c r="C22" s="15" t="s">
        <v>22</v>
      </c>
      <c r="D22" s="16">
        <v>18.725899999999999</v>
      </c>
      <c r="E22" s="16">
        <v>18.725899999999999</v>
      </c>
      <c r="F22" s="16"/>
      <c r="H22" s="16">
        <v>18.725899999999999</v>
      </c>
      <c r="I22" s="16">
        <v>18.725899999999999</v>
      </c>
      <c r="L22" s="16">
        <v>18.725899999999999</v>
      </c>
      <c r="M22" s="17">
        <v>18.725899999999999</v>
      </c>
    </row>
    <row r="23" spans="1:15" x14ac:dyDescent="0.3">
      <c r="A23" s="14"/>
      <c r="B23" s="15" t="s">
        <v>24</v>
      </c>
      <c r="C23" s="15" t="s">
        <v>22</v>
      </c>
      <c r="D23" s="16">
        <v>6.2740999999999998</v>
      </c>
      <c r="E23" s="16">
        <v>6.2740999999999998</v>
      </c>
      <c r="F23" s="16"/>
      <c r="H23" s="16">
        <v>6.2740999999999998</v>
      </c>
      <c r="I23" s="16">
        <v>6.2740999999999998</v>
      </c>
      <c r="L23" s="16">
        <v>6.2740999999999998</v>
      </c>
      <c r="M23" s="17">
        <v>6.2740999999999998</v>
      </c>
    </row>
    <row r="24" spans="1:15" x14ac:dyDescent="0.3">
      <c r="A24" s="14"/>
      <c r="D24" s="1" t="s">
        <v>25</v>
      </c>
      <c r="E24" s="1" t="s">
        <v>12</v>
      </c>
      <c r="H24" s="1" t="s">
        <v>25</v>
      </c>
      <c r="I24" s="1" t="s">
        <v>12</v>
      </c>
      <c r="L24" s="1" t="s">
        <v>25</v>
      </c>
      <c r="M24" s="18" t="s">
        <v>12</v>
      </c>
    </row>
    <row r="25" spans="1:15" x14ac:dyDescent="0.3">
      <c r="A25" s="14"/>
      <c r="B25" s="1" t="s">
        <v>127</v>
      </c>
      <c r="C25" s="1" t="s">
        <v>26</v>
      </c>
      <c r="D25" s="19">
        <f>D5*D20*10*0.3</f>
        <v>4447.1647000000057</v>
      </c>
      <c r="E25" s="19">
        <f t="shared" ref="E25:M25" si="0">E5*E20*10*0.3</f>
        <v>1291.6370314372768</v>
      </c>
      <c r="F25" s="19"/>
      <c r="G25" s="19"/>
      <c r="H25" s="19">
        <f t="shared" si="0"/>
        <v>1521.0976000000003</v>
      </c>
      <c r="I25" s="19">
        <f t="shared" si="0"/>
        <v>409.11407794424832</v>
      </c>
      <c r="J25" s="19"/>
      <c r="K25" s="19"/>
      <c r="L25" s="19">
        <f t="shared" si="0"/>
        <v>1337.5791000000002</v>
      </c>
      <c r="M25" s="20">
        <f t="shared" si="0"/>
        <v>212.72626755264622</v>
      </c>
    </row>
    <row r="26" spans="1:15" x14ac:dyDescent="0.3">
      <c r="A26" s="14"/>
      <c r="B26" s="1" t="s">
        <v>128</v>
      </c>
      <c r="C26" s="1" t="s">
        <v>26</v>
      </c>
      <c r="D26" s="19">
        <f t="shared" ref="D26:M28" si="1">D6*D21*10*0.3</f>
        <v>12154.953019999995</v>
      </c>
      <c r="E26" s="19">
        <f t="shared" si="1"/>
        <v>3210.6611174539266</v>
      </c>
      <c r="F26" s="19"/>
      <c r="G26" s="19"/>
      <c r="H26" s="19">
        <f t="shared" si="1"/>
        <v>5594.5525999999982</v>
      </c>
      <c r="I26" s="19">
        <f t="shared" si="1"/>
        <v>2008.68326857696</v>
      </c>
      <c r="J26" s="19"/>
      <c r="K26" s="19"/>
      <c r="L26" s="19">
        <f t="shared" si="1"/>
        <v>5104.5459749999982</v>
      </c>
      <c r="M26" s="20">
        <f t="shared" si="1"/>
        <v>2423.255921548086</v>
      </c>
    </row>
    <row r="27" spans="1:15" x14ac:dyDescent="0.3">
      <c r="A27" s="14"/>
      <c r="B27" s="1" t="s">
        <v>103</v>
      </c>
      <c r="C27" s="1" t="s">
        <v>26</v>
      </c>
      <c r="D27" s="19">
        <f t="shared" si="1"/>
        <v>1656.6803729999999</v>
      </c>
      <c r="E27" s="19">
        <f t="shared" si="1"/>
        <v>712.33323600000006</v>
      </c>
      <c r="F27" s="19"/>
      <c r="G27" s="19"/>
      <c r="H27" s="19">
        <f t="shared" si="1"/>
        <v>700.53591900000004</v>
      </c>
      <c r="I27" s="19">
        <f t="shared" si="1"/>
        <v>268.52940600000005</v>
      </c>
      <c r="J27" s="19"/>
      <c r="K27" s="19"/>
      <c r="L27" s="19">
        <f t="shared" si="1"/>
        <v>507.28463099999988</v>
      </c>
      <c r="M27" s="20">
        <f t="shared" si="1"/>
        <v>129.20870999999997</v>
      </c>
    </row>
    <row r="28" spans="1:15" x14ac:dyDescent="0.3">
      <c r="A28" s="14"/>
      <c r="B28" s="1" t="s">
        <v>104</v>
      </c>
      <c r="C28" s="1" t="s">
        <v>26</v>
      </c>
      <c r="D28" s="19">
        <f t="shared" si="1"/>
        <v>447.02962499999995</v>
      </c>
      <c r="E28" s="19">
        <f t="shared" si="1"/>
        <v>145.119933</v>
      </c>
      <c r="F28" s="19"/>
      <c r="G28" s="19"/>
      <c r="H28" s="19">
        <f t="shared" si="1"/>
        <v>201.02216399999998</v>
      </c>
      <c r="I28" s="19">
        <f t="shared" si="1"/>
        <v>51.008432999999989</v>
      </c>
      <c r="J28" s="19"/>
      <c r="K28" s="19"/>
      <c r="L28" s="19">
        <f t="shared" si="1"/>
        <v>183.32920199999998</v>
      </c>
      <c r="M28" s="20">
        <f t="shared" si="1"/>
        <v>49.690872000000006</v>
      </c>
    </row>
    <row r="29" spans="1:15" x14ac:dyDescent="0.3">
      <c r="A29" s="14"/>
      <c r="D29" s="1" t="s">
        <v>25</v>
      </c>
      <c r="E29" s="1" t="s">
        <v>12</v>
      </c>
      <c r="H29" s="1" t="s">
        <v>25</v>
      </c>
      <c r="I29" s="1" t="s">
        <v>12</v>
      </c>
      <c r="L29" s="1" t="s">
        <v>25</v>
      </c>
      <c r="M29" s="18" t="s">
        <v>12</v>
      </c>
      <c r="O29" s="1" t="s">
        <v>98</v>
      </c>
    </row>
    <row r="30" spans="1:15" x14ac:dyDescent="0.3">
      <c r="A30" s="14"/>
      <c r="B30" s="1" t="s">
        <v>129</v>
      </c>
      <c r="C30" s="1" t="s">
        <v>27</v>
      </c>
      <c r="D30" s="21">
        <f>SUM(D25:D26)/1000</f>
        <v>16.602117720000003</v>
      </c>
      <c r="E30" s="21">
        <f>(E25^2+E26^2)^0.5/1000</f>
        <v>3.4607327305226274</v>
      </c>
      <c r="F30" s="21"/>
      <c r="G30" s="21"/>
      <c r="H30" s="21">
        <f>SUM(H25:H26)/1000</f>
        <v>7.1156501999999984</v>
      </c>
      <c r="I30" s="21">
        <f>(I25^2+I26^2)^0.5/1000</f>
        <v>2.049922633231116</v>
      </c>
      <c r="J30" s="21"/>
      <c r="K30" s="21"/>
      <c r="L30" s="21">
        <f>SUM(L25:L26)/1000</f>
        <v>6.4421250749999981</v>
      </c>
      <c r="M30" s="22">
        <f>(M25^2+M26^2)^0.5/1000</f>
        <v>2.4325751224216576</v>
      </c>
      <c r="N30" s="21"/>
      <c r="O30" s="21">
        <f>SUM(D30,H30,L30)</f>
        <v>30.159892995</v>
      </c>
    </row>
    <row r="31" spans="1:15" x14ac:dyDescent="0.3">
      <c r="A31" s="23"/>
      <c r="B31" s="24" t="s">
        <v>130</v>
      </c>
      <c r="C31" s="24" t="s">
        <v>27</v>
      </c>
      <c r="D31" s="25">
        <f>SUM(D27:D28)/1000</f>
        <v>2.1037099979999998</v>
      </c>
      <c r="E31" s="25">
        <f>(E28^2+E27^2)^0.5/1000</f>
        <v>0.72696522204583913</v>
      </c>
      <c r="F31" s="25"/>
      <c r="G31" s="25"/>
      <c r="H31" s="25">
        <f>SUM(H27:H28)/1000</f>
        <v>0.90155808300000007</v>
      </c>
      <c r="I31" s="25">
        <f>(I28^2+I27^2)^0.5/1000</f>
        <v>0.27333112176228364</v>
      </c>
      <c r="J31" s="25"/>
      <c r="K31" s="25"/>
      <c r="L31" s="25">
        <f>SUM(L27:L28)/1000</f>
        <v>0.6906138329999999</v>
      </c>
      <c r="M31" s="26">
        <f>(M28^2+M27^2)^0.5/1000</f>
        <v>0.1384343653143412</v>
      </c>
      <c r="N31" s="27"/>
      <c r="O31" s="27">
        <f>SUM(D31,H31,L31)</f>
        <v>3.6958819139999997</v>
      </c>
    </row>
    <row r="35" spans="1:15" x14ac:dyDescent="0.3">
      <c r="A35" s="9" t="s">
        <v>18</v>
      </c>
      <c r="B35" s="10" t="s">
        <v>113</v>
      </c>
      <c r="C35" s="10" t="s">
        <v>22</v>
      </c>
      <c r="D35" s="11">
        <v>61.8962</v>
      </c>
      <c r="E35" s="11">
        <v>61.8962</v>
      </c>
      <c r="F35" s="12"/>
      <c r="G35" s="12"/>
      <c r="H35" s="11">
        <v>61.8962</v>
      </c>
      <c r="I35" s="11">
        <v>61.8962</v>
      </c>
      <c r="J35" s="12"/>
      <c r="K35" s="12"/>
      <c r="L35" s="11">
        <v>61.8962</v>
      </c>
      <c r="M35" s="13">
        <v>61.8962</v>
      </c>
    </row>
    <row r="36" spans="1:15" x14ac:dyDescent="0.3">
      <c r="A36" s="14"/>
      <c r="B36" s="15" t="s">
        <v>114</v>
      </c>
      <c r="C36" s="15" t="s">
        <v>22</v>
      </c>
      <c r="D36" s="16">
        <v>423.10379999999998</v>
      </c>
      <c r="E36" s="16">
        <v>423.10379999999998</v>
      </c>
      <c r="H36" s="16">
        <v>423.10379999999998</v>
      </c>
      <c r="I36" s="16">
        <v>423.10379999999998</v>
      </c>
      <c r="L36" s="16">
        <v>423.10379999999998</v>
      </c>
      <c r="M36" s="17">
        <v>423.10379999999998</v>
      </c>
    </row>
    <row r="37" spans="1:15" x14ac:dyDescent="0.3">
      <c r="A37" s="14"/>
      <c r="B37" s="15" t="s">
        <v>23</v>
      </c>
      <c r="C37" s="15" t="s">
        <v>22</v>
      </c>
      <c r="D37" s="16">
        <v>9.805299999999999</v>
      </c>
      <c r="E37" s="16">
        <v>9.805299999999999</v>
      </c>
      <c r="H37" s="16">
        <v>9.805299999999999</v>
      </c>
      <c r="I37" s="16">
        <v>9.805299999999999</v>
      </c>
      <c r="L37" s="16">
        <v>9.805299999999999</v>
      </c>
      <c r="M37" s="17">
        <v>9.805299999999999</v>
      </c>
    </row>
    <row r="38" spans="1:15" x14ac:dyDescent="0.3">
      <c r="A38" s="14"/>
      <c r="B38" s="15" t="s">
        <v>24</v>
      </c>
      <c r="C38" s="15" t="s">
        <v>22</v>
      </c>
      <c r="D38" s="16">
        <v>3.1947000000000001</v>
      </c>
      <c r="E38" s="16">
        <v>3.1947000000000001</v>
      </c>
      <c r="H38" s="16">
        <v>3.1947000000000001</v>
      </c>
      <c r="I38" s="16">
        <v>3.1947000000000001</v>
      </c>
      <c r="L38" s="16">
        <v>3.1947000000000001</v>
      </c>
      <c r="M38" s="17">
        <v>3.1947000000000001</v>
      </c>
    </row>
    <row r="39" spans="1:15" x14ac:dyDescent="0.3">
      <c r="A39" s="14"/>
      <c r="D39" s="1" t="s">
        <v>25</v>
      </c>
      <c r="E39" s="1" t="s">
        <v>12</v>
      </c>
      <c r="H39" s="1" t="s">
        <v>25</v>
      </c>
      <c r="I39" s="1" t="s">
        <v>12</v>
      </c>
      <c r="L39" s="1" t="s">
        <v>25</v>
      </c>
      <c r="M39" s="18" t="s">
        <v>12</v>
      </c>
    </row>
    <row r="40" spans="1:15" x14ac:dyDescent="0.3">
      <c r="A40" s="14"/>
      <c r="B40" s="1" t="s">
        <v>127</v>
      </c>
      <c r="C40" s="1" t="s">
        <v>26</v>
      </c>
      <c r="D40" s="2">
        <f t="shared" ref="D40:E43" si="2">D35*D11*0.3*10</f>
        <v>7133.0418804000001</v>
      </c>
      <c r="E40" s="2">
        <f t="shared" si="2"/>
        <v>1834.0217021025401</v>
      </c>
      <c r="F40" s="2"/>
      <c r="G40" s="2"/>
      <c r="H40" s="2">
        <f t="shared" ref="H40:I43" si="3">H35*H11*0.3*10</f>
        <v>2133.1906368</v>
      </c>
      <c r="I40" s="2">
        <f t="shared" si="3"/>
        <v>1025.2034256884756</v>
      </c>
      <c r="J40" s="2"/>
      <c r="K40" s="2"/>
      <c r="L40" s="2">
        <f t="shared" ref="L40:M43" si="4">L35*L11*0.3*10</f>
        <v>1334.9153454</v>
      </c>
      <c r="M40" s="28">
        <f t="shared" si="4"/>
        <v>0</v>
      </c>
    </row>
    <row r="41" spans="1:15" x14ac:dyDescent="0.3">
      <c r="A41" s="14"/>
      <c r="B41" s="1" t="s">
        <v>128</v>
      </c>
      <c r="C41" s="1" t="s">
        <v>26</v>
      </c>
      <c r="D41" s="2">
        <f t="shared" si="2"/>
        <v>29290.19217281379</v>
      </c>
      <c r="E41" s="2">
        <f t="shared" si="2"/>
        <v>6295.3790630508011</v>
      </c>
      <c r="F41" s="2"/>
      <c r="G41" s="2"/>
      <c r="H41" s="2">
        <f t="shared" si="3"/>
        <v>11518.957185641377</v>
      </c>
      <c r="I41" s="2">
        <f t="shared" si="3"/>
        <v>3219.9704517965874</v>
      </c>
      <c r="J41" s="2"/>
      <c r="K41" s="2"/>
      <c r="L41" s="2">
        <f t="shared" si="4"/>
        <v>10630.800302850001</v>
      </c>
      <c r="M41" s="28">
        <f t="shared" si="4"/>
        <v>6669.1174861897443</v>
      </c>
    </row>
    <row r="42" spans="1:15" x14ac:dyDescent="0.3">
      <c r="A42" s="14"/>
      <c r="B42" s="1" t="s">
        <v>103</v>
      </c>
      <c r="C42" s="1" t="s">
        <v>26</v>
      </c>
      <c r="D42" s="2">
        <f t="shared" si="2"/>
        <v>893.36088299999983</v>
      </c>
      <c r="E42" s="2">
        <f t="shared" si="2"/>
        <v>361.22725199999991</v>
      </c>
      <c r="F42" s="2"/>
      <c r="G42" s="2"/>
      <c r="H42" s="2">
        <f t="shared" si="3"/>
        <v>347.99009699999999</v>
      </c>
      <c r="I42" s="2">
        <f t="shared" si="3"/>
        <v>60.890912999999991</v>
      </c>
      <c r="J42" s="2"/>
      <c r="K42" s="2"/>
      <c r="L42" s="2">
        <f t="shared" si="4"/>
        <v>390.34899299999995</v>
      </c>
      <c r="M42" s="28">
        <f t="shared" si="4"/>
        <v>196.49821199999994</v>
      </c>
    </row>
    <row r="43" spans="1:15" x14ac:dyDescent="0.3">
      <c r="A43" s="14"/>
      <c r="B43" s="1" t="s">
        <v>104</v>
      </c>
      <c r="C43" s="1" t="s">
        <v>26</v>
      </c>
      <c r="D43" s="2">
        <f t="shared" si="2"/>
        <v>272.09259900000001</v>
      </c>
      <c r="E43" s="2">
        <f t="shared" si="2"/>
        <v>109.64210399999999</v>
      </c>
      <c r="F43" s="2"/>
      <c r="G43" s="2"/>
      <c r="H43" s="2">
        <f t="shared" si="3"/>
        <v>147.11593499999998</v>
      </c>
      <c r="I43" s="2">
        <f t="shared" si="3"/>
        <v>43.991018999999994</v>
      </c>
      <c r="J43" s="2"/>
      <c r="K43" s="2"/>
      <c r="L43" s="2">
        <f t="shared" si="4"/>
        <v>102.64571099999999</v>
      </c>
      <c r="M43" s="28">
        <f t="shared" si="4"/>
        <v>25.206182999999996</v>
      </c>
    </row>
    <row r="44" spans="1:15" x14ac:dyDescent="0.3">
      <c r="A44" s="14"/>
      <c r="D44" s="1" t="s">
        <v>25</v>
      </c>
      <c r="E44" s="1" t="s">
        <v>12</v>
      </c>
      <c r="H44" s="1" t="s">
        <v>25</v>
      </c>
      <c r="I44" s="1" t="s">
        <v>12</v>
      </c>
      <c r="L44" s="1" t="s">
        <v>25</v>
      </c>
      <c r="M44" s="20" t="s">
        <v>12</v>
      </c>
      <c r="O44" s="1" t="s">
        <v>98</v>
      </c>
    </row>
    <row r="45" spans="1:15" x14ac:dyDescent="0.3">
      <c r="A45" s="14"/>
      <c r="B45" s="1" t="s">
        <v>129</v>
      </c>
      <c r="C45" s="1" t="s">
        <v>27</v>
      </c>
      <c r="D45" s="21">
        <f>SUM(D40:D41)/1000</f>
        <v>36.42323405321379</v>
      </c>
      <c r="E45" s="21">
        <f>(E40^2+E41^2)^0.5/1000</f>
        <v>6.5570902961055433</v>
      </c>
      <c r="F45" s="21"/>
      <c r="G45" s="21"/>
      <c r="H45" s="21">
        <f>SUM(H40:H41)/1000</f>
        <v>13.652147822441377</v>
      </c>
      <c r="I45" s="21">
        <f>(I40^2+I41^2)^0.5/1000</f>
        <v>3.37923834236156</v>
      </c>
      <c r="J45" s="21"/>
      <c r="K45" s="21"/>
      <c r="L45" s="21">
        <f>SUM(L40:L41)/1000</f>
        <v>11.965715648250001</v>
      </c>
      <c r="M45" s="22">
        <f>(M40^2+M41^2)^0.5/1000</f>
        <v>6.6691174861897444</v>
      </c>
      <c r="N45" s="21"/>
      <c r="O45" s="21">
        <f>SUM(D45,H45,L45)</f>
        <v>62.041097523905165</v>
      </c>
    </row>
    <row r="46" spans="1:15" x14ac:dyDescent="0.3">
      <c r="A46" s="23"/>
      <c r="B46" s="24" t="s">
        <v>130</v>
      </c>
      <c r="C46" s="24" t="s">
        <v>27</v>
      </c>
      <c r="D46" s="25">
        <f>SUM(D42:D43)/1000</f>
        <v>1.165453482</v>
      </c>
      <c r="E46" s="25">
        <f>(E43^2+E42^2)^0.5/1000</f>
        <v>0.37750035570449236</v>
      </c>
      <c r="F46" s="25"/>
      <c r="G46" s="25"/>
      <c r="H46" s="25">
        <f>SUM(H42:H43)/1000</f>
        <v>0.49510603199999997</v>
      </c>
      <c r="I46" s="25">
        <f>(I43^2+I42^2)^0.5/1000</f>
        <v>7.5119325333977333E-2</v>
      </c>
      <c r="J46" s="25"/>
      <c r="K46" s="25"/>
      <c r="L46" s="25">
        <f>SUM(L42:L43)/1000</f>
        <v>0.49299470399999995</v>
      </c>
      <c r="M46" s="26">
        <f>(M43^2+M42^2)^0.5/1000</f>
        <v>0.1981083011401249</v>
      </c>
      <c r="N46" s="27"/>
      <c r="O46" s="27">
        <f>SUM(D46,H46,L46)</f>
        <v>2.153554218</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D4FF0-B756-4EAB-82C3-EDE2A952B657}">
  <dimension ref="A1:U30"/>
  <sheetViews>
    <sheetView topLeftCell="A13" workbookViewId="0">
      <selection activeCell="B21" sqref="B21"/>
    </sheetView>
  </sheetViews>
  <sheetFormatPr defaultRowHeight="14.4" x14ac:dyDescent="0.3"/>
  <cols>
    <col min="2" max="2" width="32.33203125" customWidth="1"/>
    <col min="3" max="3" width="14" customWidth="1"/>
    <col min="4" max="4" width="16.44140625" customWidth="1"/>
    <col min="5" max="5" width="10.88671875" customWidth="1"/>
    <col min="6" max="6" width="10.6640625" customWidth="1"/>
    <col min="7" max="7" width="16.6640625" customWidth="1"/>
    <col min="8" max="8" width="18.33203125" customWidth="1"/>
    <col min="9" max="9" width="17.33203125" customWidth="1"/>
    <col min="11" max="11" width="23.44140625" customWidth="1"/>
  </cols>
  <sheetData>
    <row r="1" spans="1:21" s="69" customFormat="1" ht="16.350000000000001" customHeight="1" x14ac:dyDescent="0.3">
      <c r="A1" s="68" t="s">
        <v>59</v>
      </c>
    </row>
    <row r="2" spans="1:21" s="55" customFormat="1" ht="49.95" customHeight="1" x14ac:dyDescent="0.3">
      <c r="B2" s="55" t="s">
        <v>60</v>
      </c>
      <c r="C2" s="55" t="s">
        <v>61</v>
      </c>
      <c r="D2" s="55" t="s">
        <v>62</v>
      </c>
      <c r="E2" s="55" t="s">
        <v>63</v>
      </c>
      <c r="F2" s="55" t="s">
        <v>64</v>
      </c>
      <c r="G2" s="55" t="s">
        <v>65</v>
      </c>
      <c r="H2" s="55" t="s">
        <v>66</v>
      </c>
      <c r="I2" s="55" t="s">
        <v>67</v>
      </c>
      <c r="K2" s="56" t="s">
        <v>68</v>
      </c>
      <c r="L2" s="56"/>
      <c r="R2" s="89"/>
      <c r="S2" s="89"/>
      <c r="T2" s="89"/>
      <c r="U2" s="89"/>
    </row>
    <row r="3" spans="1:21" x14ac:dyDescent="0.3">
      <c r="A3" t="s">
        <v>13</v>
      </c>
      <c r="B3" t="s">
        <v>69</v>
      </c>
      <c r="C3">
        <v>20</v>
      </c>
      <c r="D3">
        <v>583</v>
      </c>
      <c r="E3">
        <v>20.74</v>
      </c>
      <c r="F3">
        <v>34.93</v>
      </c>
      <c r="G3">
        <v>4.0999999999999996</v>
      </c>
      <c r="H3">
        <v>6.3</v>
      </c>
      <c r="I3">
        <v>7.03</v>
      </c>
      <c r="K3" s="57" t="s">
        <v>13</v>
      </c>
      <c r="L3" s="57" t="s">
        <v>33</v>
      </c>
      <c r="R3" s="90"/>
      <c r="S3" s="90"/>
      <c r="T3" s="90"/>
      <c r="U3" s="90"/>
    </row>
    <row r="4" spans="1:21" x14ac:dyDescent="0.3">
      <c r="B4" t="s">
        <v>70</v>
      </c>
      <c r="C4">
        <v>20</v>
      </c>
      <c r="D4">
        <v>585</v>
      </c>
      <c r="E4">
        <v>21.45</v>
      </c>
      <c r="F4">
        <v>34.11</v>
      </c>
      <c r="G4">
        <v>7.5</v>
      </c>
      <c r="H4">
        <v>8.61</v>
      </c>
      <c r="I4">
        <v>12.82</v>
      </c>
      <c r="K4" s="57" t="s">
        <v>15</v>
      </c>
      <c r="L4" s="58">
        <f>AVERAGE(I4,I5,I8)</f>
        <v>10.65</v>
      </c>
      <c r="R4" s="90"/>
      <c r="S4" s="90"/>
      <c r="T4" s="90"/>
      <c r="U4" s="90"/>
    </row>
    <row r="5" spans="1:21" x14ac:dyDescent="0.3">
      <c r="B5" t="s">
        <v>71</v>
      </c>
      <c r="C5">
        <v>17</v>
      </c>
      <c r="D5">
        <v>1000</v>
      </c>
      <c r="E5">
        <v>24.36</v>
      </c>
      <c r="F5">
        <v>36.770000000000003</v>
      </c>
      <c r="G5">
        <v>9</v>
      </c>
      <c r="H5">
        <v>11.23</v>
      </c>
      <c r="I5">
        <v>9</v>
      </c>
      <c r="K5" s="57" t="s">
        <v>14</v>
      </c>
      <c r="L5" s="58">
        <f>AVERAGE(I3,I6,I7)</f>
        <v>12.683333333333332</v>
      </c>
      <c r="R5" s="90"/>
      <c r="S5" s="90"/>
      <c r="T5" s="90"/>
      <c r="U5" s="90"/>
    </row>
    <row r="6" spans="1:21" x14ac:dyDescent="0.3">
      <c r="B6" t="s">
        <v>72</v>
      </c>
      <c r="C6">
        <v>20</v>
      </c>
      <c r="D6">
        <v>340</v>
      </c>
      <c r="E6">
        <v>20.010000000000002</v>
      </c>
      <c r="F6">
        <v>33.32</v>
      </c>
      <c r="G6">
        <v>5.2</v>
      </c>
      <c r="H6">
        <v>4.95</v>
      </c>
      <c r="I6">
        <v>15.29</v>
      </c>
      <c r="K6" s="57"/>
      <c r="L6" s="57"/>
      <c r="R6" s="90"/>
      <c r="S6" s="90"/>
      <c r="T6" s="90"/>
      <c r="U6" s="90"/>
    </row>
    <row r="7" spans="1:21" x14ac:dyDescent="0.3">
      <c r="B7" t="s">
        <v>73</v>
      </c>
      <c r="C7">
        <v>20</v>
      </c>
      <c r="D7">
        <v>89</v>
      </c>
      <c r="E7">
        <v>15.96</v>
      </c>
      <c r="F7">
        <v>17.98</v>
      </c>
      <c r="G7">
        <v>1.4</v>
      </c>
      <c r="H7">
        <v>1.0900000000000001</v>
      </c>
      <c r="I7">
        <v>15.73</v>
      </c>
      <c r="K7" s="57"/>
      <c r="L7" s="57"/>
      <c r="R7" s="90"/>
      <c r="S7" s="90"/>
      <c r="T7" s="90"/>
      <c r="U7" s="90"/>
    </row>
    <row r="8" spans="1:21" x14ac:dyDescent="0.3">
      <c r="B8" t="s">
        <v>74</v>
      </c>
      <c r="C8">
        <v>20</v>
      </c>
      <c r="D8">
        <v>780</v>
      </c>
      <c r="E8">
        <v>18.350000000000001</v>
      </c>
      <c r="F8">
        <v>33.31</v>
      </c>
      <c r="G8">
        <v>7.9</v>
      </c>
      <c r="H8">
        <v>8.67</v>
      </c>
      <c r="I8">
        <v>10.130000000000001</v>
      </c>
      <c r="K8" s="57"/>
      <c r="L8" s="57"/>
      <c r="R8" s="90"/>
      <c r="S8" s="90"/>
      <c r="T8" s="90"/>
      <c r="U8" s="90"/>
    </row>
    <row r="9" spans="1:21" x14ac:dyDescent="0.3">
      <c r="B9" t="s">
        <v>75</v>
      </c>
      <c r="C9">
        <v>117</v>
      </c>
      <c r="D9">
        <v>3377</v>
      </c>
      <c r="E9">
        <v>20.149999999999999</v>
      </c>
      <c r="F9">
        <v>31.74</v>
      </c>
      <c r="G9">
        <v>35.1</v>
      </c>
      <c r="H9">
        <v>40.85</v>
      </c>
      <c r="I9">
        <v>11.67</v>
      </c>
      <c r="K9" s="57"/>
      <c r="L9" s="57"/>
      <c r="R9" s="90"/>
      <c r="S9" s="90"/>
      <c r="T9" s="90"/>
      <c r="U9" s="90"/>
    </row>
    <row r="10" spans="1:21" x14ac:dyDescent="0.3">
      <c r="K10" s="57"/>
      <c r="L10" s="57"/>
      <c r="R10" s="90"/>
      <c r="S10" s="90"/>
      <c r="T10" s="90"/>
      <c r="U10" s="90"/>
    </row>
    <row r="11" spans="1:21" x14ac:dyDescent="0.3">
      <c r="K11" s="57" t="s">
        <v>18</v>
      </c>
      <c r="L11" s="57" t="s">
        <v>33</v>
      </c>
      <c r="R11" s="90"/>
      <c r="S11" s="90"/>
      <c r="T11" s="90"/>
      <c r="U11" s="90"/>
    </row>
    <row r="12" spans="1:21" x14ac:dyDescent="0.3">
      <c r="A12" t="s">
        <v>18</v>
      </c>
      <c r="B12" t="s">
        <v>76</v>
      </c>
      <c r="C12">
        <v>30</v>
      </c>
      <c r="D12">
        <v>1032</v>
      </c>
      <c r="E12">
        <v>18.04</v>
      </c>
      <c r="F12">
        <v>41.08</v>
      </c>
      <c r="G12">
        <v>13</v>
      </c>
      <c r="H12">
        <v>10.89</v>
      </c>
      <c r="I12">
        <v>12.6</v>
      </c>
      <c r="K12" s="57" t="s">
        <v>14</v>
      </c>
      <c r="L12" s="57">
        <f>I12</f>
        <v>12.6</v>
      </c>
    </row>
    <row r="13" spans="1:21" x14ac:dyDescent="0.3">
      <c r="G13" s="78"/>
      <c r="H13" s="78"/>
      <c r="I13" s="78"/>
      <c r="K13" s="57"/>
      <c r="L13" s="57"/>
    </row>
    <row r="14" spans="1:21" x14ac:dyDescent="0.3">
      <c r="C14" t="s">
        <v>77</v>
      </c>
      <c r="E14" t="s">
        <v>78</v>
      </c>
      <c r="G14" s="79"/>
      <c r="H14" s="79"/>
      <c r="I14" s="78"/>
    </row>
    <row r="15" spans="1:21" x14ac:dyDescent="0.3">
      <c r="A15" t="s">
        <v>13</v>
      </c>
      <c r="B15" t="s">
        <v>79</v>
      </c>
      <c r="C15">
        <v>25</v>
      </c>
      <c r="E15">
        <v>3043</v>
      </c>
      <c r="G15" s="79"/>
      <c r="H15" s="79"/>
      <c r="I15" s="78"/>
    </row>
    <row r="16" spans="1:21" x14ac:dyDescent="0.3">
      <c r="A16" t="s">
        <v>18</v>
      </c>
      <c r="C16">
        <v>13</v>
      </c>
      <c r="E16">
        <v>1576</v>
      </c>
      <c r="G16" s="79"/>
      <c r="H16" s="79"/>
      <c r="I16" s="78"/>
    </row>
    <row r="17" spans="1:9" x14ac:dyDescent="0.3">
      <c r="A17" t="s">
        <v>13</v>
      </c>
      <c r="B17" t="s">
        <v>80</v>
      </c>
      <c r="C17">
        <v>3.89</v>
      </c>
      <c r="E17">
        <v>452.7</v>
      </c>
      <c r="G17" s="79"/>
      <c r="H17" s="79"/>
      <c r="I17" s="78"/>
    </row>
    <row r="18" spans="1:9" x14ac:dyDescent="0.3">
      <c r="A18" t="s">
        <v>18</v>
      </c>
      <c r="C18">
        <v>3.95</v>
      </c>
      <c r="E18">
        <v>492.7</v>
      </c>
      <c r="G18" s="79"/>
      <c r="H18" s="79"/>
      <c r="I18" s="78"/>
    </row>
    <row r="19" spans="1:9" x14ac:dyDescent="0.3">
      <c r="G19" s="79"/>
      <c r="H19" s="79"/>
      <c r="I19" s="78"/>
    </row>
    <row r="20" spans="1:9" ht="43.2" x14ac:dyDescent="0.3">
      <c r="B20" s="88" t="s">
        <v>142</v>
      </c>
      <c r="C20" s="80" t="s">
        <v>65</v>
      </c>
      <c r="D20" s="81" t="s">
        <v>66</v>
      </c>
      <c r="G20" s="79"/>
      <c r="H20" s="79"/>
      <c r="I20" s="78"/>
    </row>
    <row r="21" spans="1:9" x14ac:dyDescent="0.3">
      <c r="B21" s="82" t="s">
        <v>134</v>
      </c>
      <c r="C21" s="83">
        <f t="shared" ref="C21:D26" si="0">G3</f>
        <v>4.0999999999999996</v>
      </c>
      <c r="D21" s="84">
        <f t="shared" si="0"/>
        <v>6.3</v>
      </c>
      <c r="I21" s="78"/>
    </row>
    <row r="22" spans="1:9" x14ac:dyDescent="0.3">
      <c r="B22" s="82" t="s">
        <v>135</v>
      </c>
      <c r="C22" s="83">
        <f t="shared" si="0"/>
        <v>7.5</v>
      </c>
      <c r="D22" s="84">
        <f t="shared" si="0"/>
        <v>8.61</v>
      </c>
      <c r="G22" s="79"/>
      <c r="H22" s="79"/>
      <c r="I22" s="78"/>
    </row>
    <row r="23" spans="1:9" x14ac:dyDescent="0.3">
      <c r="B23" s="82" t="s">
        <v>136</v>
      </c>
      <c r="C23" s="83">
        <f t="shared" si="0"/>
        <v>9</v>
      </c>
      <c r="D23" s="84">
        <f t="shared" si="0"/>
        <v>11.23</v>
      </c>
      <c r="G23" s="79"/>
      <c r="H23" s="79"/>
      <c r="I23" s="78"/>
    </row>
    <row r="24" spans="1:9" x14ac:dyDescent="0.3">
      <c r="B24" s="82" t="s">
        <v>137</v>
      </c>
      <c r="C24" s="83">
        <f t="shared" si="0"/>
        <v>5.2</v>
      </c>
      <c r="D24" s="84">
        <f t="shared" si="0"/>
        <v>4.95</v>
      </c>
      <c r="G24" s="79"/>
      <c r="H24" s="79"/>
      <c r="I24" s="78"/>
    </row>
    <row r="25" spans="1:9" x14ac:dyDescent="0.3">
      <c r="B25" s="82" t="s">
        <v>138</v>
      </c>
      <c r="C25" s="83">
        <f t="shared" si="0"/>
        <v>1.4</v>
      </c>
      <c r="D25" s="84">
        <f t="shared" si="0"/>
        <v>1.0900000000000001</v>
      </c>
      <c r="G25" s="79"/>
      <c r="H25" s="79"/>
      <c r="I25" s="78"/>
    </row>
    <row r="26" spans="1:9" x14ac:dyDescent="0.3">
      <c r="B26" s="82" t="s">
        <v>139</v>
      </c>
      <c r="C26" s="83">
        <f t="shared" si="0"/>
        <v>7.9</v>
      </c>
      <c r="D26" s="84">
        <f t="shared" si="0"/>
        <v>8.67</v>
      </c>
      <c r="G26" s="79"/>
      <c r="H26" s="79"/>
      <c r="I26" s="78"/>
    </row>
    <row r="27" spans="1:9" x14ac:dyDescent="0.3">
      <c r="B27" s="85" t="s">
        <v>140</v>
      </c>
      <c r="C27" s="86">
        <f t="shared" ref="C27:D27" si="1">G12</f>
        <v>13</v>
      </c>
      <c r="D27" s="87">
        <f t="shared" si="1"/>
        <v>10.89</v>
      </c>
      <c r="G27" s="79"/>
      <c r="H27" s="79"/>
      <c r="I27" s="78"/>
    </row>
    <row r="28" spans="1:9" x14ac:dyDescent="0.3">
      <c r="G28" s="79"/>
      <c r="H28" s="79"/>
      <c r="I28" s="78"/>
    </row>
    <row r="29" spans="1:9" x14ac:dyDescent="0.3">
      <c r="G29" s="78"/>
      <c r="H29" s="78"/>
      <c r="I29" s="78"/>
    </row>
    <row r="30" spans="1:9" x14ac:dyDescent="0.3">
      <c r="G30" s="78"/>
      <c r="H30" s="78"/>
      <c r="I30" s="7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59E70-E089-4299-B7C9-59A869EAC766}">
  <dimension ref="A1:N31"/>
  <sheetViews>
    <sheetView workbookViewId="0">
      <selection activeCell="B2" sqref="B2"/>
    </sheetView>
  </sheetViews>
  <sheetFormatPr defaultColWidth="9.33203125" defaultRowHeight="14.4" x14ac:dyDescent="0.3"/>
  <cols>
    <col min="1" max="1" width="12.33203125" style="29" customWidth="1"/>
    <col min="2" max="2" width="52.5546875" style="29" customWidth="1"/>
    <col min="3" max="3" width="15.44140625" style="29" customWidth="1"/>
    <col min="4" max="4" width="10.5546875" style="29" bestFit="1" customWidth="1"/>
    <col min="5" max="5" width="9.33203125" style="29"/>
    <col min="6" max="6" width="11.6640625" style="29" customWidth="1"/>
    <col min="7" max="7" width="10.6640625" style="29" customWidth="1"/>
    <col min="8" max="9" width="9.33203125" style="29"/>
    <col min="10" max="10" width="4.88671875" style="29" customWidth="1"/>
    <col min="11" max="11" width="14.44140625" style="29" customWidth="1"/>
    <col min="12" max="12" width="11.6640625" style="31" customWidth="1"/>
    <col min="13" max="13" width="12.6640625" style="29" customWidth="1"/>
    <col min="14" max="14" width="9.33203125" style="32"/>
    <col min="15" max="16384" width="9.33203125" style="29"/>
  </cols>
  <sheetData>
    <row r="1" spans="1:14" s="70" customFormat="1" ht="15.6" x14ac:dyDescent="0.3">
      <c r="B1" s="71" t="s">
        <v>143</v>
      </c>
      <c r="L1" s="72"/>
      <c r="N1" s="73"/>
    </row>
    <row r="2" spans="1:14" x14ac:dyDescent="0.3">
      <c r="C2" s="29" t="s">
        <v>28</v>
      </c>
      <c r="D2" s="29" t="s">
        <v>13</v>
      </c>
      <c r="E2" s="29" t="s">
        <v>18</v>
      </c>
      <c r="F2" s="29" t="s">
        <v>29</v>
      </c>
    </row>
    <row r="3" spans="1:14" x14ac:dyDescent="0.3">
      <c r="A3" s="29" t="s">
        <v>32</v>
      </c>
      <c r="B3" s="29" t="s">
        <v>111</v>
      </c>
      <c r="C3" s="29" t="s">
        <v>33</v>
      </c>
      <c r="D3" s="33">
        <v>12.14200000000001</v>
      </c>
      <c r="E3" s="33">
        <v>17.127300000000002</v>
      </c>
      <c r="F3" s="33" t="s">
        <v>19</v>
      </c>
    </row>
    <row r="4" spans="1:14" x14ac:dyDescent="0.3">
      <c r="B4" s="29" t="s">
        <v>112</v>
      </c>
      <c r="C4" s="29" t="s">
        <v>33</v>
      </c>
      <c r="D4" s="33">
        <v>10.302507142857142</v>
      </c>
      <c r="E4" s="33">
        <v>12.15776120689655</v>
      </c>
      <c r="F4" s="33" t="s">
        <v>19</v>
      </c>
    </row>
    <row r="5" spans="1:14" x14ac:dyDescent="0.3">
      <c r="B5" s="29" t="s">
        <v>35</v>
      </c>
      <c r="C5" s="29" t="s">
        <v>33</v>
      </c>
      <c r="D5" s="33">
        <v>15.296999999999999</v>
      </c>
      <c r="E5" s="33">
        <v>16.640999999999998</v>
      </c>
      <c r="F5" s="33">
        <v>16.12844347826087</v>
      </c>
    </row>
    <row r="6" spans="1:14" x14ac:dyDescent="0.3">
      <c r="B6" s="29" t="s">
        <v>36</v>
      </c>
      <c r="C6" s="29" t="s">
        <v>33</v>
      </c>
      <c r="D6" s="33">
        <v>13.251000000000001</v>
      </c>
      <c r="E6" s="33">
        <v>16.335000000000001</v>
      </c>
      <c r="F6" s="33" t="s">
        <v>39</v>
      </c>
    </row>
    <row r="7" spans="1:14" x14ac:dyDescent="0.3">
      <c r="B7" s="29" t="s">
        <v>37</v>
      </c>
      <c r="C7" s="29" t="s">
        <v>33</v>
      </c>
      <c r="D7" s="33">
        <v>12.683333333333332</v>
      </c>
      <c r="E7" s="33">
        <v>12.6</v>
      </c>
      <c r="F7" s="33">
        <v>12.631780538302277</v>
      </c>
    </row>
    <row r="8" spans="1:14" x14ac:dyDescent="0.3">
      <c r="B8" s="29" t="s">
        <v>38</v>
      </c>
      <c r="C8" s="29" t="s">
        <v>33</v>
      </c>
      <c r="D8" s="33">
        <v>10.65</v>
      </c>
      <c r="E8" s="33" t="s">
        <v>39</v>
      </c>
      <c r="F8" s="33">
        <v>10.65</v>
      </c>
    </row>
    <row r="9" spans="1:14" x14ac:dyDescent="0.3">
      <c r="B9" s="29" t="s">
        <v>40</v>
      </c>
      <c r="C9" s="29" t="s">
        <v>41</v>
      </c>
      <c r="D9" s="33">
        <v>395</v>
      </c>
      <c r="E9" s="33">
        <v>395</v>
      </c>
      <c r="F9" s="33">
        <v>395</v>
      </c>
      <c r="H9" s="33"/>
      <c r="I9" s="33"/>
    </row>
    <row r="10" spans="1:14" x14ac:dyDescent="0.3">
      <c r="N10" s="59"/>
    </row>
    <row r="11" spans="1:14" x14ac:dyDescent="0.3">
      <c r="A11" s="29" t="s">
        <v>46</v>
      </c>
      <c r="B11" s="29" t="s">
        <v>113</v>
      </c>
      <c r="C11" s="29" t="s">
        <v>22</v>
      </c>
      <c r="D11" s="32">
        <v>0</v>
      </c>
      <c r="E11" s="32">
        <v>0</v>
      </c>
      <c r="F11" s="32">
        <f>SUM(D11:E11)</f>
        <v>0</v>
      </c>
    </row>
    <row r="12" spans="1:14" x14ac:dyDescent="0.3">
      <c r="B12" s="29" t="s">
        <v>114</v>
      </c>
      <c r="C12" s="29" t="s">
        <v>22</v>
      </c>
      <c r="D12" s="32">
        <v>0</v>
      </c>
      <c r="E12" s="32">
        <v>0</v>
      </c>
      <c r="F12" s="32">
        <f t="shared" ref="F12:F14" si="0">SUM(D12:E12)</f>
        <v>0</v>
      </c>
    </row>
    <row r="13" spans="1:14" x14ac:dyDescent="0.3">
      <c r="B13" s="29" t="s">
        <v>23</v>
      </c>
      <c r="C13" s="29" t="s">
        <v>22</v>
      </c>
      <c r="D13" s="32">
        <v>307</v>
      </c>
      <c r="E13" s="32">
        <v>498</v>
      </c>
      <c r="F13" s="32">
        <f t="shared" si="0"/>
        <v>805</v>
      </c>
    </row>
    <row r="14" spans="1:14" x14ac:dyDescent="0.3">
      <c r="B14" s="29" t="s">
        <v>24</v>
      </c>
      <c r="C14" s="29" t="s">
        <v>22</v>
      </c>
      <c r="D14" s="32">
        <v>0</v>
      </c>
      <c r="E14" s="32">
        <v>0</v>
      </c>
      <c r="F14" s="32">
        <f t="shared" si="0"/>
        <v>0</v>
      </c>
      <c r="G14" s="32"/>
      <c r="H14" s="32"/>
    </row>
    <row r="15" spans="1:14" x14ac:dyDescent="0.3">
      <c r="B15" s="29" t="s">
        <v>47</v>
      </c>
      <c r="C15" s="29" t="s">
        <v>48</v>
      </c>
      <c r="D15" s="31">
        <v>1146</v>
      </c>
      <c r="E15" s="31">
        <v>1260</v>
      </c>
      <c r="F15" s="31">
        <f>SUM(D15:E15)</f>
        <v>2406</v>
      </c>
    </row>
    <row r="17" spans="1:6" x14ac:dyDescent="0.3">
      <c r="A17" s="29" t="s">
        <v>81</v>
      </c>
      <c r="B17" s="29" t="s">
        <v>115</v>
      </c>
      <c r="C17" s="29" t="s">
        <v>26</v>
      </c>
      <c r="D17" s="31">
        <f>D3*D11*10000/1000</f>
        <v>0</v>
      </c>
      <c r="E17" s="31">
        <f>E3*E11*10000/1000</f>
        <v>0</v>
      </c>
      <c r="F17" s="31">
        <f>SUM(D17:E17)</f>
        <v>0</v>
      </c>
    </row>
    <row r="18" spans="1:6" x14ac:dyDescent="0.3">
      <c r="B18" s="29" t="s">
        <v>116</v>
      </c>
      <c r="C18" s="29" t="s">
        <v>26</v>
      </c>
      <c r="D18" s="31">
        <f t="shared" ref="D18:E20" si="1">D4*D12*10000/1000</f>
        <v>0</v>
      </c>
      <c r="E18" s="31">
        <f t="shared" si="1"/>
        <v>0</v>
      </c>
      <c r="F18" s="31">
        <f t="shared" ref="F18:F23" si="2">SUM(D18:E18)</f>
        <v>0</v>
      </c>
    </row>
    <row r="19" spans="1:6" x14ac:dyDescent="0.3">
      <c r="B19" s="29" t="s">
        <v>50</v>
      </c>
      <c r="C19" s="29" t="s">
        <v>26</v>
      </c>
      <c r="D19" s="31">
        <f>D5*D13*10000/1000</f>
        <v>46961.79</v>
      </c>
      <c r="E19" s="31">
        <f t="shared" si="1"/>
        <v>82872.179999999978</v>
      </c>
      <c r="F19" s="31">
        <f t="shared" si="2"/>
        <v>129833.96999999997</v>
      </c>
    </row>
    <row r="20" spans="1:6" x14ac:dyDescent="0.3">
      <c r="B20" s="29" t="s">
        <v>51</v>
      </c>
      <c r="C20" s="29" t="s">
        <v>26</v>
      </c>
      <c r="D20" s="31">
        <f>D6*D14*10000/1000</f>
        <v>0</v>
      </c>
      <c r="E20" s="31">
        <f t="shared" si="1"/>
        <v>0</v>
      </c>
      <c r="F20" s="31">
        <f t="shared" si="2"/>
        <v>0</v>
      </c>
    </row>
    <row r="21" spans="1:6" x14ac:dyDescent="0.3">
      <c r="B21" s="29" t="s">
        <v>52</v>
      </c>
      <c r="C21" s="29" t="s">
        <v>26</v>
      </c>
      <c r="D21" s="31">
        <f>D7*D13*10000/1000</f>
        <v>38937.833333333328</v>
      </c>
      <c r="E21" s="31">
        <f>E7*E13*10000/1000</f>
        <v>62748</v>
      </c>
      <c r="F21" s="31">
        <f t="shared" si="2"/>
        <v>101685.83333333333</v>
      </c>
    </row>
    <row r="22" spans="1:6" x14ac:dyDescent="0.3">
      <c r="B22" s="29" t="s">
        <v>53</v>
      </c>
      <c r="C22" s="29" t="s">
        <v>26</v>
      </c>
      <c r="D22" s="31">
        <f t="shared" ref="D22" si="3">D8*D14*10000/1000</f>
        <v>0</v>
      </c>
      <c r="E22" s="31">
        <f>D8*E14*10000/1000</f>
        <v>0</v>
      </c>
      <c r="F22" s="31">
        <f t="shared" si="2"/>
        <v>0</v>
      </c>
    </row>
    <row r="23" spans="1:6" x14ac:dyDescent="0.3">
      <c r="B23" s="29" t="s">
        <v>54</v>
      </c>
      <c r="C23" s="29" t="s">
        <v>26</v>
      </c>
      <c r="D23" s="32">
        <f>D9*D15/1000</f>
        <v>452.67</v>
      </c>
      <c r="E23" s="32">
        <f>E9*E15/1000</f>
        <v>497.7</v>
      </c>
      <c r="F23" s="31">
        <f t="shared" si="2"/>
        <v>950.37</v>
      </c>
    </row>
    <row r="25" spans="1:6" x14ac:dyDescent="0.3">
      <c r="B25" s="29" t="s">
        <v>82</v>
      </c>
      <c r="C25" s="29" t="s">
        <v>26</v>
      </c>
      <c r="D25" s="31">
        <f>SUM(D17:D23)</f>
        <v>86352.29333333332</v>
      </c>
      <c r="E25" s="31">
        <f>SUM(E17:E23)</f>
        <v>146117.88</v>
      </c>
      <c r="F25" s="31">
        <f t="shared" ref="F25" si="4">SUM(F17:F23)</f>
        <v>232470.17333333328</v>
      </c>
    </row>
    <row r="27" spans="1:6" x14ac:dyDescent="0.3">
      <c r="B27" s="29" t="s">
        <v>83</v>
      </c>
      <c r="C27" s="29" t="s">
        <v>84</v>
      </c>
      <c r="D27" s="29">
        <v>40</v>
      </c>
    </row>
    <row r="29" spans="1:6" x14ac:dyDescent="0.3">
      <c r="B29" s="29" t="s">
        <v>85</v>
      </c>
      <c r="C29" s="29" t="s">
        <v>26</v>
      </c>
      <c r="D29" s="31">
        <f>F25-'Table 1'!F25</f>
        <v>128850.41336576146</v>
      </c>
    </row>
    <row r="30" spans="1:6" x14ac:dyDescent="0.3">
      <c r="B30" s="29" t="s">
        <v>86</v>
      </c>
      <c r="C30" s="29" t="s">
        <v>87</v>
      </c>
      <c r="D30" s="31">
        <f>D29/D27</f>
        <v>3221.2603341440363</v>
      </c>
    </row>
    <row r="31" spans="1:6" x14ac:dyDescent="0.3">
      <c r="B31" s="29" t="s">
        <v>88</v>
      </c>
      <c r="D31" s="33">
        <f>D30/6406</f>
        <v>0.5028505048616978</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B7681-3221-4C49-9BB4-FA4284AAC277}">
  <dimension ref="A1:N31"/>
  <sheetViews>
    <sheetView workbookViewId="0">
      <selection activeCell="B9" sqref="B9"/>
    </sheetView>
  </sheetViews>
  <sheetFormatPr defaultColWidth="9.33203125" defaultRowHeight="14.4" x14ac:dyDescent="0.3"/>
  <cols>
    <col min="1" max="1" width="12.5546875" style="29" customWidth="1"/>
    <col min="2" max="2" width="48.109375" style="29" customWidth="1"/>
    <col min="3" max="3" width="15.44140625" style="29" customWidth="1"/>
    <col min="4" max="4" width="10.5546875" style="29" bestFit="1" customWidth="1"/>
    <col min="5" max="5" width="9.33203125" style="29"/>
    <col min="6" max="6" width="11.6640625" style="29" customWidth="1"/>
    <col min="7" max="7" width="10.6640625" style="29" customWidth="1"/>
    <col min="8" max="9" width="9.33203125" style="29"/>
    <col min="10" max="10" width="4.88671875" style="29" customWidth="1"/>
    <col min="11" max="11" width="14.44140625" style="29" customWidth="1"/>
    <col min="12" max="12" width="11.6640625" style="31" customWidth="1"/>
    <col min="13" max="13" width="12.6640625" style="29" customWidth="1"/>
    <col min="14" max="14" width="9.33203125" style="32"/>
    <col min="15" max="16384" width="9.33203125" style="29"/>
  </cols>
  <sheetData>
    <row r="1" spans="1:14" s="70" customFormat="1" ht="15.6" x14ac:dyDescent="0.3">
      <c r="B1" s="71" t="s">
        <v>105</v>
      </c>
      <c r="L1" s="72"/>
      <c r="N1" s="73"/>
    </row>
    <row r="2" spans="1:14" x14ac:dyDescent="0.3">
      <c r="C2" s="29" t="s">
        <v>28</v>
      </c>
      <c r="D2" s="29" t="s">
        <v>13</v>
      </c>
      <c r="E2" s="29" t="s">
        <v>18</v>
      </c>
      <c r="F2" s="29" t="s">
        <v>29</v>
      </c>
    </row>
    <row r="3" spans="1:14" x14ac:dyDescent="0.3">
      <c r="A3" s="29" t="s">
        <v>32</v>
      </c>
      <c r="B3" s="29" t="s">
        <v>111</v>
      </c>
      <c r="C3" s="29" t="s">
        <v>33</v>
      </c>
      <c r="D3" s="33">
        <v>12.14200000000001</v>
      </c>
      <c r="E3" s="33">
        <v>17.127300000000002</v>
      </c>
      <c r="F3" s="33">
        <v>12.14200000000001</v>
      </c>
    </row>
    <row r="4" spans="1:14" x14ac:dyDescent="0.3">
      <c r="B4" s="29" t="s">
        <v>112</v>
      </c>
      <c r="C4" s="29" t="s">
        <v>33</v>
      </c>
      <c r="D4" s="33">
        <v>10.302507142857142</v>
      </c>
      <c r="E4" s="33">
        <v>12.15776120689655</v>
      </c>
      <c r="F4" s="33">
        <v>10.302507142857142</v>
      </c>
    </row>
    <row r="5" spans="1:14" x14ac:dyDescent="0.3">
      <c r="B5" s="29" t="s">
        <v>35</v>
      </c>
      <c r="C5" s="29" t="s">
        <v>33</v>
      </c>
      <c r="D5" s="33">
        <v>15.296999999999999</v>
      </c>
      <c r="E5" s="33">
        <v>16.640999999999998</v>
      </c>
      <c r="F5" s="33">
        <v>16.546994864150232</v>
      </c>
    </row>
    <row r="6" spans="1:14" x14ac:dyDescent="0.3">
      <c r="B6" s="29" t="s">
        <v>36</v>
      </c>
      <c r="C6" s="29" t="s">
        <v>33</v>
      </c>
      <c r="D6" s="33">
        <v>13.251000000000001</v>
      </c>
      <c r="E6" s="33">
        <v>16.335000000000001</v>
      </c>
      <c r="F6" s="33">
        <v>16.259201772134347</v>
      </c>
    </row>
    <row r="7" spans="1:14" x14ac:dyDescent="0.3">
      <c r="B7" s="29" t="s">
        <v>37</v>
      </c>
      <c r="C7" s="29" t="s">
        <v>33</v>
      </c>
      <c r="D7" s="33">
        <v>12.683333333333332</v>
      </c>
      <c r="E7" s="33">
        <v>12.6</v>
      </c>
      <c r="F7" s="33">
        <v>12.605828691458937</v>
      </c>
    </row>
    <row r="8" spans="1:14" x14ac:dyDescent="0.3">
      <c r="B8" s="29" t="s">
        <v>38</v>
      </c>
      <c r="C8" s="29" t="s">
        <v>33</v>
      </c>
      <c r="D8" s="33">
        <v>10.65</v>
      </c>
      <c r="E8" s="33" t="s">
        <v>39</v>
      </c>
      <c r="F8" s="29">
        <v>10.65</v>
      </c>
    </row>
    <row r="9" spans="1:14" x14ac:dyDescent="0.3">
      <c r="B9" s="29" t="s">
        <v>40</v>
      </c>
      <c r="C9" s="29" t="s">
        <v>41</v>
      </c>
      <c r="D9" s="33">
        <v>395</v>
      </c>
      <c r="E9" s="33">
        <v>395</v>
      </c>
      <c r="F9" s="33">
        <v>395</v>
      </c>
      <c r="H9" s="33"/>
      <c r="I9" s="33"/>
    </row>
    <row r="10" spans="1:14" x14ac:dyDescent="0.3">
      <c r="N10" s="59"/>
    </row>
    <row r="11" spans="1:14" x14ac:dyDescent="0.3">
      <c r="A11" s="29" t="s">
        <v>46</v>
      </c>
      <c r="B11" s="29" t="s">
        <v>113</v>
      </c>
      <c r="C11" s="29" t="s">
        <v>22</v>
      </c>
      <c r="D11" s="32">
        <v>60.17</v>
      </c>
      <c r="E11" s="32">
        <v>0</v>
      </c>
      <c r="F11" s="32">
        <f>SUM(D11:E11)</f>
        <v>60.17</v>
      </c>
    </row>
    <row r="12" spans="1:14" x14ac:dyDescent="0.3">
      <c r="B12" s="29" t="s">
        <v>114</v>
      </c>
      <c r="C12" s="29" t="s">
        <v>22</v>
      </c>
      <c r="D12" s="32">
        <v>221.82999999999998</v>
      </c>
      <c r="E12" s="32">
        <v>0</v>
      </c>
      <c r="F12" s="32">
        <f t="shared" ref="F12:F14" si="0">SUM(D12:E12)</f>
        <v>221.82999999999998</v>
      </c>
      <c r="G12" s="34" t="s">
        <v>99</v>
      </c>
    </row>
    <row r="13" spans="1:14" x14ac:dyDescent="0.3">
      <c r="B13" s="29" t="s">
        <v>23</v>
      </c>
      <c r="C13" s="29" t="s">
        <v>22</v>
      </c>
      <c r="D13" s="32">
        <v>18.725899999999999</v>
      </c>
      <c r="E13" s="32">
        <v>249</v>
      </c>
      <c r="F13" s="32">
        <f t="shared" si="0"/>
        <v>267.72590000000002</v>
      </c>
      <c r="G13" s="35">
        <f>SUM(D11:E14)</f>
        <v>805</v>
      </c>
    </row>
    <row r="14" spans="1:14" x14ac:dyDescent="0.3">
      <c r="B14" s="29" t="s">
        <v>24</v>
      </c>
      <c r="C14" s="29" t="s">
        <v>22</v>
      </c>
      <c r="D14" s="32">
        <v>6.2740999999999998</v>
      </c>
      <c r="E14" s="32">
        <v>249</v>
      </c>
      <c r="F14" s="32">
        <f t="shared" si="0"/>
        <v>255.2741</v>
      </c>
      <c r="G14" s="32"/>
      <c r="H14" s="32"/>
    </row>
    <row r="15" spans="1:14" x14ac:dyDescent="0.3">
      <c r="B15" s="29" t="s">
        <v>47</v>
      </c>
      <c r="C15" s="29" t="s">
        <v>48</v>
      </c>
      <c r="D15" s="31">
        <v>1146</v>
      </c>
      <c r="E15" s="31">
        <v>1260</v>
      </c>
      <c r="F15" s="31">
        <f>SUM(D15:E15)</f>
        <v>2406</v>
      </c>
    </row>
    <row r="17" spans="1:6" x14ac:dyDescent="0.3">
      <c r="A17" s="29" t="s">
        <v>81</v>
      </c>
      <c r="B17" s="29" t="s">
        <v>115</v>
      </c>
      <c r="C17" s="29" t="s">
        <v>26</v>
      </c>
      <c r="D17" s="31">
        <f>D3*D11*10000/1000</f>
        <v>7305.8414000000057</v>
      </c>
      <c r="E17" s="31">
        <f>E3*E11*10000/1000</f>
        <v>0</v>
      </c>
      <c r="F17" s="31">
        <f>SUM(D17:E17)</f>
        <v>7305.8414000000057</v>
      </c>
    </row>
    <row r="18" spans="1:6" x14ac:dyDescent="0.3">
      <c r="B18" s="29" t="s">
        <v>116</v>
      </c>
      <c r="C18" s="29" t="s">
        <v>26</v>
      </c>
      <c r="D18" s="31">
        <f t="shared" ref="D18:E20" si="1">D4*D12*10000/1000</f>
        <v>22854.051594999994</v>
      </c>
      <c r="E18" s="31">
        <f t="shared" si="1"/>
        <v>0</v>
      </c>
      <c r="F18" s="31">
        <f t="shared" ref="F18:F23" si="2">SUM(D18:E18)</f>
        <v>22854.051594999994</v>
      </c>
    </row>
    <row r="19" spans="1:6" x14ac:dyDescent="0.3">
      <c r="B19" s="29" t="s">
        <v>50</v>
      </c>
      <c r="C19" s="29" t="s">
        <v>26</v>
      </c>
      <c r="D19" s="31">
        <f t="shared" si="1"/>
        <v>2864.5009230000001</v>
      </c>
      <c r="E19" s="31">
        <f t="shared" si="1"/>
        <v>41436.089999999989</v>
      </c>
      <c r="F19" s="31">
        <f t="shared" si="2"/>
        <v>44300.590922999989</v>
      </c>
    </row>
    <row r="20" spans="1:6" x14ac:dyDescent="0.3">
      <c r="B20" s="29" t="s">
        <v>51</v>
      </c>
      <c r="C20" s="29" t="s">
        <v>26</v>
      </c>
      <c r="D20" s="31">
        <f>D6*D14*10000/1000</f>
        <v>831.38099099999999</v>
      </c>
      <c r="E20" s="31">
        <f t="shared" si="1"/>
        <v>40674.150000000009</v>
      </c>
      <c r="F20" s="31">
        <f t="shared" si="2"/>
        <v>41505.530991000007</v>
      </c>
    </row>
    <row r="21" spans="1:6" x14ac:dyDescent="0.3">
      <c r="B21" s="29" t="s">
        <v>52</v>
      </c>
      <c r="C21" s="29" t="s">
        <v>26</v>
      </c>
      <c r="D21" s="31">
        <f>D7*D13*10000/1000</f>
        <v>2375.0683166666663</v>
      </c>
      <c r="E21" s="31">
        <f>E7*E13*10000/1000</f>
        <v>31374</v>
      </c>
      <c r="F21" s="31">
        <f t="shared" si="2"/>
        <v>33749.068316666664</v>
      </c>
    </row>
    <row r="22" spans="1:6" x14ac:dyDescent="0.3">
      <c r="B22" s="29" t="s">
        <v>53</v>
      </c>
      <c r="C22" s="29" t="s">
        <v>26</v>
      </c>
      <c r="D22" s="31">
        <f t="shared" ref="D22" si="3">D8*D14*10000/1000</f>
        <v>668.19164999999998</v>
      </c>
      <c r="E22" s="31">
        <f>D8*E14*10000/1000</f>
        <v>26518.5</v>
      </c>
      <c r="F22" s="31">
        <f t="shared" si="2"/>
        <v>27186.691650000001</v>
      </c>
    </row>
    <row r="23" spans="1:6" x14ac:dyDescent="0.3">
      <c r="B23" s="29" t="s">
        <v>54</v>
      </c>
      <c r="C23" s="29" t="s">
        <v>26</v>
      </c>
      <c r="D23" s="32">
        <f>D9*D15/1000</f>
        <v>452.67</v>
      </c>
      <c r="E23" s="32">
        <f>E9*E15/1000</f>
        <v>497.7</v>
      </c>
      <c r="F23" s="31">
        <f t="shared" si="2"/>
        <v>950.37</v>
      </c>
    </row>
    <row r="25" spans="1:6" x14ac:dyDescent="0.3">
      <c r="B25" s="29" t="s">
        <v>55</v>
      </c>
      <c r="C25" s="29" t="s">
        <v>26</v>
      </c>
      <c r="D25" s="31">
        <f>SUM(D17:D23)</f>
        <v>37351.704875666663</v>
      </c>
      <c r="E25" s="31">
        <f t="shared" ref="E25:F25" si="4">SUM(E17:E23)</f>
        <v>140500.44</v>
      </c>
      <c r="F25" s="31">
        <f t="shared" si="4"/>
        <v>177852.14487566665</v>
      </c>
    </row>
    <row r="27" spans="1:6" x14ac:dyDescent="0.3">
      <c r="B27" s="29" t="s">
        <v>83</v>
      </c>
      <c r="C27" s="29" t="s">
        <v>84</v>
      </c>
      <c r="D27" s="29">
        <v>40</v>
      </c>
    </row>
    <row r="29" spans="1:6" x14ac:dyDescent="0.3">
      <c r="B29" s="29" t="s">
        <v>89</v>
      </c>
      <c r="C29" s="29" t="s">
        <v>26</v>
      </c>
      <c r="D29" s="31">
        <f>F25-'Table 1'!F25</f>
        <v>74232.384908094828</v>
      </c>
    </row>
    <row r="30" spans="1:6" x14ac:dyDescent="0.3">
      <c r="B30" s="29" t="s">
        <v>86</v>
      </c>
      <c r="C30" s="29" t="s">
        <v>87</v>
      </c>
      <c r="D30" s="31">
        <f>D29/D27</f>
        <v>1855.8096227023707</v>
      </c>
    </row>
    <row r="31" spans="1:6" x14ac:dyDescent="0.3">
      <c r="B31" s="29" t="s">
        <v>88</v>
      </c>
      <c r="D31" s="33">
        <f>D30/6406</f>
        <v>0.28969866105250869</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91F4-EEB3-41C8-A776-0F1E5A0A9E03}">
  <dimension ref="A1:N31"/>
  <sheetViews>
    <sheetView workbookViewId="0">
      <selection activeCell="B2" sqref="B2"/>
    </sheetView>
  </sheetViews>
  <sheetFormatPr defaultColWidth="9.33203125" defaultRowHeight="14.4" x14ac:dyDescent="0.3"/>
  <cols>
    <col min="1" max="1" width="15.33203125" style="29" customWidth="1"/>
    <col min="2" max="2" width="48.109375" style="29" customWidth="1"/>
    <col min="3" max="3" width="15.44140625" style="29" customWidth="1"/>
    <col min="4" max="4" width="10.5546875" style="29" bestFit="1" customWidth="1"/>
    <col min="5" max="5" width="9.33203125" style="29"/>
    <col min="6" max="6" width="11.6640625" style="29" customWidth="1"/>
    <col min="7" max="7" width="10.6640625" style="29" customWidth="1"/>
    <col min="8" max="9" width="9.33203125" style="29"/>
    <col min="10" max="10" width="4.88671875" style="29" customWidth="1"/>
    <col min="11" max="11" width="14.44140625" style="29" customWidth="1"/>
    <col min="12" max="12" width="11.6640625" style="31" customWidth="1"/>
    <col min="13" max="13" width="12.6640625" style="29" customWidth="1"/>
    <col min="14" max="14" width="9.33203125" style="32"/>
    <col min="15" max="16384" width="9.33203125" style="29"/>
  </cols>
  <sheetData>
    <row r="1" spans="1:14" s="70" customFormat="1" ht="15.6" x14ac:dyDescent="0.3">
      <c r="B1" s="71" t="s">
        <v>144</v>
      </c>
      <c r="L1" s="72"/>
      <c r="N1" s="73"/>
    </row>
    <row r="2" spans="1:14" x14ac:dyDescent="0.3">
      <c r="C2" s="29" t="s">
        <v>28</v>
      </c>
      <c r="D2" s="29" t="s">
        <v>13</v>
      </c>
      <c r="E2" s="29" t="s">
        <v>18</v>
      </c>
      <c r="F2" s="29" t="s">
        <v>29</v>
      </c>
    </row>
    <row r="3" spans="1:14" x14ac:dyDescent="0.3">
      <c r="A3" s="29" t="s">
        <v>32</v>
      </c>
      <c r="B3" s="29" t="s">
        <v>111</v>
      </c>
      <c r="C3" s="29" t="s">
        <v>33</v>
      </c>
      <c r="D3" s="33">
        <v>12.14200000000001</v>
      </c>
      <c r="E3" s="33">
        <v>17.127300000000002</v>
      </c>
      <c r="F3" s="33">
        <v>15.29437353324642</v>
      </c>
    </row>
    <row r="4" spans="1:14" x14ac:dyDescent="0.3">
      <c r="B4" s="29" t="s">
        <v>112</v>
      </c>
      <c r="C4" s="29" t="s">
        <v>33</v>
      </c>
      <c r="D4" s="33">
        <v>10.302507142857142</v>
      </c>
      <c r="E4" s="33">
        <v>12.15776120689655</v>
      </c>
      <c r="F4" s="33">
        <v>11.475646935633039</v>
      </c>
    </row>
    <row r="5" spans="1:14" x14ac:dyDescent="0.3">
      <c r="B5" s="29" t="s">
        <v>35</v>
      </c>
      <c r="C5" s="29" t="s">
        <v>33</v>
      </c>
      <c r="D5" s="33">
        <v>15.296999999999999</v>
      </c>
      <c r="E5" s="33">
        <v>16.640999999999998</v>
      </c>
      <c r="F5" s="33">
        <v>15.758891655450874</v>
      </c>
    </row>
    <row r="6" spans="1:14" x14ac:dyDescent="0.3">
      <c r="B6" s="29" t="s">
        <v>36</v>
      </c>
      <c r="C6" s="29" t="s">
        <v>33</v>
      </c>
      <c r="D6" s="33">
        <v>13.251000000000001</v>
      </c>
      <c r="E6" s="33">
        <v>16.335000000000001</v>
      </c>
      <c r="F6" s="33">
        <v>14.29151778472457</v>
      </c>
    </row>
    <row r="7" spans="1:14" x14ac:dyDescent="0.3">
      <c r="B7" s="29" t="s">
        <v>37</v>
      </c>
      <c r="C7" s="29" t="s">
        <v>33</v>
      </c>
      <c r="D7" s="33">
        <v>12.683333333333332</v>
      </c>
      <c r="E7" s="33">
        <v>12.6</v>
      </c>
      <c r="F7" s="33">
        <v>12.654694217791983</v>
      </c>
    </row>
    <row r="8" spans="1:14" x14ac:dyDescent="0.3">
      <c r="B8" s="29" t="s">
        <v>38</v>
      </c>
      <c r="C8" s="29" t="s">
        <v>33</v>
      </c>
      <c r="D8" s="33">
        <v>10.65</v>
      </c>
      <c r="E8" s="33" t="s">
        <v>39</v>
      </c>
      <c r="F8" s="29">
        <v>10.65</v>
      </c>
    </row>
    <row r="9" spans="1:14" x14ac:dyDescent="0.3">
      <c r="B9" s="29" t="s">
        <v>40</v>
      </c>
      <c r="C9" s="29" t="s">
        <v>41</v>
      </c>
      <c r="D9" s="33">
        <v>395</v>
      </c>
      <c r="E9" s="33">
        <v>395</v>
      </c>
      <c r="F9" s="33">
        <v>395</v>
      </c>
      <c r="H9" s="33"/>
      <c r="I9" s="33"/>
    </row>
    <row r="10" spans="1:14" x14ac:dyDescent="0.3">
      <c r="G10" s="34" t="s">
        <v>90</v>
      </c>
      <c r="H10" s="34"/>
      <c r="N10" s="59"/>
    </row>
    <row r="11" spans="1:14" x14ac:dyDescent="0.3">
      <c r="A11" s="29" t="s">
        <v>46</v>
      </c>
      <c r="B11" s="29" t="s">
        <v>113</v>
      </c>
      <c r="C11" s="29" t="s">
        <v>22</v>
      </c>
      <c r="D11" s="32">
        <v>236.88</v>
      </c>
      <c r="E11" s="32">
        <v>407.4</v>
      </c>
      <c r="F11" s="32">
        <f>SUM(D11:E11)</f>
        <v>644.28</v>
      </c>
      <c r="G11" s="34">
        <f>D11/SUM(D11:D12)</f>
        <v>0.84</v>
      </c>
      <c r="H11" s="34">
        <f>E11/SUM(E11:E12)</f>
        <v>0.84</v>
      </c>
    </row>
    <row r="12" spans="1:14" x14ac:dyDescent="0.3">
      <c r="B12" s="29" t="s">
        <v>114</v>
      </c>
      <c r="C12" s="29" t="s">
        <v>22</v>
      </c>
      <c r="D12" s="32">
        <v>45.12</v>
      </c>
      <c r="E12" s="32">
        <v>77.600000000000009</v>
      </c>
      <c r="F12" s="32">
        <f t="shared" ref="F12:F14" si="0">SUM(D12:E12)</f>
        <v>122.72</v>
      </c>
      <c r="G12" s="34">
        <f>D12/SUM(D11:D12)</f>
        <v>0.16</v>
      </c>
      <c r="H12" s="34">
        <f>E12/SUM(E11:E12)</f>
        <v>0.16000000000000003</v>
      </c>
    </row>
    <row r="13" spans="1:14" x14ac:dyDescent="0.3">
      <c r="B13" s="29" t="s">
        <v>23</v>
      </c>
      <c r="C13" s="29" t="s">
        <v>22</v>
      </c>
      <c r="D13" s="32">
        <v>18.725899999999999</v>
      </c>
      <c r="E13" s="32">
        <v>9.805299999999999</v>
      </c>
      <c r="F13" s="32">
        <f t="shared" si="0"/>
        <v>28.531199999999998</v>
      </c>
    </row>
    <row r="14" spans="1:14" x14ac:dyDescent="0.3">
      <c r="B14" s="29" t="s">
        <v>24</v>
      </c>
      <c r="C14" s="29" t="s">
        <v>22</v>
      </c>
      <c r="D14" s="32">
        <v>6.2740999999999998</v>
      </c>
      <c r="E14" s="32">
        <v>3.1947000000000001</v>
      </c>
      <c r="F14" s="32">
        <f t="shared" si="0"/>
        <v>9.4687999999999999</v>
      </c>
      <c r="H14" s="32"/>
    </row>
    <row r="15" spans="1:14" x14ac:dyDescent="0.3">
      <c r="B15" s="29" t="s">
        <v>47</v>
      </c>
      <c r="C15" s="29" t="s">
        <v>48</v>
      </c>
      <c r="D15" s="31">
        <v>1146</v>
      </c>
      <c r="E15" s="31">
        <v>1260</v>
      </c>
      <c r="F15" s="31">
        <f>SUM(D15:E15)</f>
        <v>2406</v>
      </c>
      <c r="H15" s="32"/>
    </row>
    <row r="17" spans="1:6" x14ac:dyDescent="0.3">
      <c r="A17" s="29" t="s">
        <v>91</v>
      </c>
      <c r="B17" s="29" t="s">
        <v>115</v>
      </c>
      <c r="C17" s="29" t="s">
        <v>26</v>
      </c>
      <c r="D17" s="31">
        <f>D3*D11*10000/1000</f>
        <v>28761.969600000022</v>
      </c>
      <c r="E17" s="31">
        <f>E3*E11*10000/1000</f>
        <v>69776.620200000005</v>
      </c>
      <c r="F17" s="31">
        <f>SUM(D17:E17)</f>
        <v>98538.589800000031</v>
      </c>
    </row>
    <row r="18" spans="1:6" x14ac:dyDescent="0.3">
      <c r="B18" s="29" t="s">
        <v>116</v>
      </c>
      <c r="C18" s="29" t="s">
        <v>26</v>
      </c>
      <c r="D18" s="31">
        <f t="shared" ref="D18:E20" si="1">D4*D12*10000/1000</f>
        <v>4648.491222857142</v>
      </c>
      <c r="E18" s="31">
        <f t="shared" si="1"/>
        <v>9434.4226965517228</v>
      </c>
      <c r="F18" s="31">
        <f t="shared" ref="F18:F23" si="2">SUM(D18:E18)</f>
        <v>14082.913919408864</v>
      </c>
    </row>
    <row r="19" spans="1:6" x14ac:dyDescent="0.3">
      <c r="B19" s="29" t="s">
        <v>50</v>
      </c>
      <c r="C19" s="29" t="s">
        <v>26</v>
      </c>
      <c r="D19" s="31">
        <f t="shared" si="1"/>
        <v>2864.5009230000001</v>
      </c>
      <c r="E19" s="31">
        <f t="shared" si="1"/>
        <v>1631.6999729999998</v>
      </c>
      <c r="F19" s="31">
        <f t="shared" si="2"/>
        <v>4496.2008960000003</v>
      </c>
    </row>
    <row r="20" spans="1:6" x14ac:dyDescent="0.3">
      <c r="B20" s="29" t="s">
        <v>51</v>
      </c>
      <c r="C20" s="29" t="s">
        <v>26</v>
      </c>
      <c r="D20" s="31">
        <f>D6*D14*10000/1000</f>
        <v>831.38099099999999</v>
      </c>
      <c r="E20" s="31">
        <f t="shared" si="1"/>
        <v>521.85424500000011</v>
      </c>
      <c r="F20" s="31">
        <f t="shared" si="2"/>
        <v>1353.235236</v>
      </c>
    </row>
    <row r="21" spans="1:6" x14ac:dyDescent="0.3">
      <c r="B21" s="29" t="s">
        <v>52</v>
      </c>
      <c r="C21" s="29" t="s">
        <v>26</v>
      </c>
      <c r="D21" s="31">
        <f>D7*D13*10000/1000</f>
        <v>2375.0683166666663</v>
      </c>
      <c r="E21" s="31">
        <f>E7*E13*10000/1000</f>
        <v>1235.4677999999999</v>
      </c>
      <c r="F21" s="31">
        <f t="shared" si="2"/>
        <v>3610.5361166666662</v>
      </c>
    </row>
    <row r="22" spans="1:6" x14ac:dyDescent="0.3">
      <c r="B22" s="29" t="s">
        <v>53</v>
      </c>
      <c r="C22" s="29" t="s">
        <v>26</v>
      </c>
      <c r="D22" s="31">
        <f t="shared" ref="D22" si="3">D8*D14*10000/1000</f>
        <v>668.19164999999998</v>
      </c>
      <c r="E22" s="31">
        <f>D8*E14*10000/1000</f>
        <v>340.23555000000005</v>
      </c>
      <c r="F22" s="31">
        <f t="shared" si="2"/>
        <v>1008.4272000000001</v>
      </c>
    </row>
    <row r="23" spans="1:6" x14ac:dyDescent="0.3">
      <c r="B23" s="29" t="s">
        <v>54</v>
      </c>
      <c r="C23" s="29" t="s">
        <v>26</v>
      </c>
      <c r="D23" s="32">
        <f>D9*D15/1000</f>
        <v>452.67</v>
      </c>
      <c r="E23" s="32">
        <f>E9*E15/1000</f>
        <v>497.7</v>
      </c>
      <c r="F23" s="31">
        <f t="shared" si="2"/>
        <v>950.37</v>
      </c>
    </row>
    <row r="25" spans="1:6" x14ac:dyDescent="0.3">
      <c r="B25" s="29" t="s">
        <v>55</v>
      </c>
      <c r="C25" s="29" t="s">
        <v>26</v>
      </c>
      <c r="D25" s="31">
        <f>SUM(D17:D23)</f>
        <v>40602.272703523828</v>
      </c>
      <c r="E25" s="31">
        <f t="shared" ref="E25:F25" si="4">SUM(E17:E23)</f>
        <v>83438.000464551704</v>
      </c>
      <c r="F25" s="31">
        <f t="shared" si="4"/>
        <v>124040.27316807555</v>
      </c>
    </row>
    <row r="27" spans="1:6" x14ac:dyDescent="0.3">
      <c r="B27" s="29" t="s">
        <v>83</v>
      </c>
      <c r="C27" s="29" t="s">
        <v>84</v>
      </c>
      <c r="D27" s="29">
        <v>5</v>
      </c>
    </row>
    <row r="29" spans="1:6" x14ac:dyDescent="0.3">
      <c r="A29" s="29" t="s">
        <v>85</v>
      </c>
      <c r="C29" s="29" t="s">
        <v>26</v>
      </c>
      <c r="D29" s="31">
        <f>F25-'Table 1'!F25</f>
        <v>20420.51320050373</v>
      </c>
    </row>
    <row r="30" spans="1:6" x14ac:dyDescent="0.3">
      <c r="A30" s="29" t="s">
        <v>86</v>
      </c>
      <c r="C30" s="29" t="s">
        <v>87</v>
      </c>
      <c r="D30" s="31">
        <f>D29/D27</f>
        <v>4084.1026401007462</v>
      </c>
    </row>
    <row r="31" spans="1:6" x14ac:dyDescent="0.3">
      <c r="A31" s="29" t="s">
        <v>88</v>
      </c>
      <c r="D31" s="33">
        <f>D30/6406</f>
        <v>0.63754334063389728</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F1E39-FF5B-49FB-861F-B621B1FB008C}">
  <dimension ref="A1:N30"/>
  <sheetViews>
    <sheetView tabSelected="1" zoomScale="90" zoomScaleNormal="90" workbookViewId="0">
      <selection activeCell="K17" sqref="K17"/>
    </sheetView>
  </sheetViews>
  <sheetFormatPr defaultColWidth="9.33203125" defaultRowHeight="14.4" x14ac:dyDescent="0.3"/>
  <cols>
    <col min="1" max="1" width="13.6640625" style="29" customWidth="1"/>
    <col min="2" max="2" width="48.109375" style="29" customWidth="1"/>
    <col min="3" max="3" width="15.44140625" style="29" customWidth="1"/>
    <col min="4" max="4" width="10.5546875" style="29" bestFit="1" customWidth="1"/>
    <col min="5" max="5" width="9.33203125" style="29"/>
    <col min="6" max="6" width="11.6640625" style="29" customWidth="1"/>
    <col min="7" max="7" width="24" style="29" customWidth="1"/>
    <col min="8" max="9" width="11.5546875" style="29" bestFit="1" customWidth="1"/>
    <col min="10" max="10" width="4.88671875" style="29" customWidth="1"/>
    <col min="11" max="11" width="14.44140625" style="29" customWidth="1"/>
    <col min="12" max="12" width="11.6640625" style="31" customWidth="1"/>
    <col min="13" max="13" width="12.6640625" style="29" customWidth="1"/>
    <col min="14" max="14" width="9.33203125" style="32"/>
    <col min="15" max="16384" width="9.33203125" style="29"/>
  </cols>
  <sheetData>
    <row r="1" spans="1:14" s="70" customFormat="1" ht="15.6" x14ac:dyDescent="0.3">
      <c r="B1" s="71" t="s">
        <v>145</v>
      </c>
      <c r="L1" s="72"/>
      <c r="N1" s="73"/>
    </row>
    <row r="2" spans="1:14" x14ac:dyDescent="0.3">
      <c r="C2" s="29" t="s">
        <v>28</v>
      </c>
      <c r="D2" s="29" t="s">
        <v>13</v>
      </c>
      <c r="E2" s="29" t="s">
        <v>18</v>
      </c>
      <c r="F2" s="29" t="s">
        <v>29</v>
      </c>
    </row>
    <row r="3" spans="1:14" x14ac:dyDescent="0.3">
      <c r="A3" s="29" t="s">
        <v>32</v>
      </c>
      <c r="B3" s="29" t="s">
        <v>111</v>
      </c>
      <c r="C3" s="29" t="s">
        <v>33</v>
      </c>
      <c r="D3" s="33">
        <v>12.14200000000001</v>
      </c>
      <c r="E3" s="33">
        <v>17.127300000000002</v>
      </c>
      <c r="F3" s="33">
        <v>14.669899826979135</v>
      </c>
      <c r="H3" s="33"/>
      <c r="I3" s="33"/>
    </row>
    <row r="4" spans="1:14" x14ac:dyDescent="0.3">
      <c r="B4" s="29" t="s">
        <v>112</v>
      </c>
      <c r="C4" s="29" t="s">
        <v>33</v>
      </c>
      <c r="D4" s="33">
        <v>10.302507142857142</v>
      </c>
      <c r="E4" s="33">
        <v>12.15776120689655</v>
      </c>
      <c r="F4" s="33">
        <v>11.617546341687571</v>
      </c>
    </row>
    <row r="5" spans="1:14" x14ac:dyDescent="0.3">
      <c r="B5" s="29" t="s">
        <v>35</v>
      </c>
      <c r="C5" s="29" t="s">
        <v>33</v>
      </c>
      <c r="D5" s="33">
        <v>15.296999999999999</v>
      </c>
      <c r="E5" s="33">
        <v>16.640999999999998</v>
      </c>
      <c r="F5" s="33">
        <v>15.914518696515167</v>
      </c>
    </row>
    <row r="6" spans="1:14" x14ac:dyDescent="0.3">
      <c r="B6" s="29" t="s">
        <v>36</v>
      </c>
      <c r="C6" s="29" t="s">
        <v>33</v>
      </c>
      <c r="D6" s="33">
        <v>13.251000000000001</v>
      </c>
      <c r="E6" s="33">
        <v>16.335000000000001</v>
      </c>
      <c r="F6" s="33">
        <v>14.740801501174031</v>
      </c>
    </row>
    <row r="7" spans="1:14" x14ac:dyDescent="0.3">
      <c r="B7" s="29" t="s">
        <v>37</v>
      </c>
      <c r="C7" s="29" t="s">
        <v>33</v>
      </c>
      <c r="D7" s="33">
        <v>12.683333333333332</v>
      </c>
      <c r="E7" s="33">
        <v>12.6</v>
      </c>
      <c r="F7" s="33">
        <v>12.645044723678373</v>
      </c>
    </row>
    <row r="8" spans="1:14" x14ac:dyDescent="0.3">
      <c r="B8" s="29" t="s">
        <v>38</v>
      </c>
      <c r="C8" s="29" t="s">
        <v>33</v>
      </c>
      <c r="D8" s="33">
        <v>10.65</v>
      </c>
      <c r="E8" s="33" t="s">
        <v>39</v>
      </c>
      <c r="F8" s="29">
        <v>10.65</v>
      </c>
      <c r="H8" s="34" t="s">
        <v>131</v>
      </c>
    </row>
    <row r="9" spans="1:14" x14ac:dyDescent="0.3">
      <c r="B9" s="29" t="s">
        <v>40</v>
      </c>
      <c r="C9" s="29" t="s">
        <v>41</v>
      </c>
      <c r="D9" s="33">
        <v>395</v>
      </c>
      <c r="E9" s="33">
        <v>395</v>
      </c>
      <c r="F9" s="33">
        <v>395</v>
      </c>
      <c r="H9" s="34" t="s">
        <v>92</v>
      </c>
      <c r="I9" s="33"/>
    </row>
    <row r="10" spans="1:14" x14ac:dyDescent="0.3">
      <c r="G10" s="34" t="s">
        <v>106</v>
      </c>
      <c r="H10" s="34" t="s">
        <v>132</v>
      </c>
      <c r="I10" s="34"/>
      <c r="J10" s="34"/>
      <c r="N10" s="59"/>
    </row>
    <row r="11" spans="1:14" x14ac:dyDescent="0.3">
      <c r="A11" s="29" t="s">
        <v>46</v>
      </c>
      <c r="B11" s="29" t="s">
        <v>113</v>
      </c>
      <c r="C11" s="29" t="s">
        <v>22</v>
      </c>
      <c r="D11" s="32">
        <v>60.17</v>
      </c>
      <c r="E11" s="32">
        <v>61.8962</v>
      </c>
      <c r="F11" s="32">
        <f>SUM(D11:E11)</f>
        <v>122.06620000000001</v>
      </c>
      <c r="G11" s="35">
        <f>SUM(D11:E14)</f>
        <v>805</v>
      </c>
      <c r="H11" s="34" t="s">
        <v>13</v>
      </c>
      <c r="I11" s="34" t="s">
        <v>18</v>
      </c>
      <c r="J11" s="34"/>
    </row>
    <row r="12" spans="1:14" x14ac:dyDescent="0.3">
      <c r="B12" s="29" t="s">
        <v>114</v>
      </c>
      <c r="C12" s="29" t="s">
        <v>22</v>
      </c>
      <c r="D12" s="32">
        <v>140.33000000000001</v>
      </c>
      <c r="E12" s="32">
        <v>341.60379999999998</v>
      </c>
      <c r="F12" s="32">
        <f t="shared" ref="F12:F14" si="0">SUM(D12:E12)</f>
        <v>481.93380000000002</v>
      </c>
      <c r="H12" s="41">
        <f>81.5/(D12+81.5)</f>
        <v>0.36739845827886219</v>
      </c>
      <c r="I12" s="41">
        <f>81.5/(E12+81.5)</f>
        <v>0.19262412675092969</v>
      </c>
      <c r="J12" s="34"/>
    </row>
    <row r="13" spans="1:14" x14ac:dyDescent="0.3">
      <c r="B13" s="29" t="s">
        <v>23</v>
      </c>
      <c r="C13" s="29" t="s">
        <v>22</v>
      </c>
      <c r="D13" s="32">
        <v>59.475899999999996</v>
      </c>
      <c r="E13" s="32">
        <v>50.555300000000003</v>
      </c>
      <c r="F13" s="32">
        <f t="shared" si="0"/>
        <v>110.0312</v>
      </c>
      <c r="H13" s="32"/>
    </row>
    <row r="14" spans="1:14" x14ac:dyDescent="0.3">
      <c r="B14" s="29" t="s">
        <v>24</v>
      </c>
      <c r="C14" s="29" t="s">
        <v>22</v>
      </c>
      <c r="D14" s="32">
        <v>47.024099999999997</v>
      </c>
      <c r="E14" s="32">
        <v>43.944699999999997</v>
      </c>
      <c r="F14" s="32">
        <f t="shared" si="0"/>
        <v>90.968799999999987</v>
      </c>
      <c r="H14" s="60"/>
    </row>
    <row r="15" spans="1:14" x14ac:dyDescent="0.3">
      <c r="B15" s="29" t="s">
        <v>47</v>
      </c>
      <c r="C15" s="29" t="s">
        <v>48</v>
      </c>
      <c r="D15" s="31">
        <v>1146</v>
      </c>
      <c r="E15" s="31">
        <v>1260</v>
      </c>
      <c r="F15" s="31">
        <f>SUM(D15:E15)</f>
        <v>2406</v>
      </c>
    </row>
    <row r="17" spans="1:7" x14ac:dyDescent="0.3">
      <c r="A17" s="29" t="s">
        <v>91</v>
      </c>
      <c r="B17" s="29" t="s">
        <v>115</v>
      </c>
      <c r="C17" s="29" t="s">
        <v>26</v>
      </c>
      <c r="D17" s="31">
        <f>D3*D11*10000/1000</f>
        <v>7305.8414000000057</v>
      </c>
      <c r="E17" s="31">
        <f>E3*E11*10000/1000</f>
        <v>10601.147862600001</v>
      </c>
      <c r="F17" s="31">
        <f>SUM(D17:E17)</f>
        <v>17906.989262600007</v>
      </c>
    </row>
    <row r="18" spans="1:7" x14ac:dyDescent="0.3">
      <c r="B18" s="29" t="s">
        <v>116</v>
      </c>
      <c r="C18" s="29" t="s">
        <v>26</v>
      </c>
      <c r="D18" s="31">
        <f t="shared" ref="D18:E20" si="1">D4*D12*10000/1000</f>
        <v>14457.508273571428</v>
      </c>
      <c r="E18" s="31">
        <f t="shared" si="1"/>
        <v>41531.374277684474</v>
      </c>
      <c r="F18" s="31">
        <f t="shared" ref="F18:F23" si="2">SUM(D18:E18)</f>
        <v>55988.882551255898</v>
      </c>
    </row>
    <row r="19" spans="1:7" x14ac:dyDescent="0.3">
      <c r="B19" s="29" t="s">
        <v>50</v>
      </c>
      <c r="C19" s="29" t="s">
        <v>26</v>
      </c>
      <c r="D19" s="31">
        <f t="shared" si="1"/>
        <v>9098.0284229999979</v>
      </c>
      <c r="E19" s="31">
        <f t="shared" si="1"/>
        <v>8412.9074729999993</v>
      </c>
      <c r="F19" s="31">
        <f t="shared" si="2"/>
        <v>17510.935895999995</v>
      </c>
    </row>
    <row r="20" spans="1:7" x14ac:dyDescent="0.3">
      <c r="B20" s="29" t="s">
        <v>51</v>
      </c>
      <c r="C20" s="29" t="s">
        <v>26</v>
      </c>
      <c r="D20" s="31">
        <f>D6*D14*10000/1000</f>
        <v>6231.1634909999993</v>
      </c>
      <c r="E20" s="31">
        <f t="shared" si="1"/>
        <v>7178.3667449999994</v>
      </c>
      <c r="F20" s="31">
        <f t="shared" si="2"/>
        <v>13409.530235999999</v>
      </c>
    </row>
    <row r="21" spans="1:7" x14ac:dyDescent="0.3">
      <c r="B21" s="29" t="s">
        <v>52</v>
      </c>
      <c r="C21" s="29" t="s">
        <v>26</v>
      </c>
      <c r="D21" s="31">
        <f>D7*D13*10000/1000</f>
        <v>7543.5266499999989</v>
      </c>
      <c r="E21" s="31">
        <f>E7*E13*10000/1000</f>
        <v>6369.9678000000004</v>
      </c>
      <c r="F21" s="31">
        <f t="shared" si="2"/>
        <v>13913.494449999998</v>
      </c>
    </row>
    <row r="22" spans="1:7" x14ac:dyDescent="0.3">
      <c r="B22" s="29" t="s">
        <v>53</v>
      </c>
      <c r="C22" s="29" t="s">
        <v>26</v>
      </c>
      <c r="D22" s="31">
        <f t="shared" ref="D22" si="3">D8*D14*10000/1000</f>
        <v>5008.0666500000007</v>
      </c>
      <c r="E22" s="31">
        <f>D8*E14*10000/1000</f>
        <v>4680.1105499999994</v>
      </c>
      <c r="F22" s="31">
        <f t="shared" si="2"/>
        <v>9688.1772000000001</v>
      </c>
    </row>
    <row r="23" spans="1:7" x14ac:dyDescent="0.3">
      <c r="B23" s="29" t="s">
        <v>54</v>
      </c>
      <c r="C23" s="29" t="s">
        <v>26</v>
      </c>
      <c r="D23" s="32">
        <f>D9*D15/1000</f>
        <v>452.67</v>
      </c>
      <c r="E23" s="32">
        <f>E9*E15/1000</f>
        <v>497.7</v>
      </c>
      <c r="F23" s="31">
        <f t="shared" si="2"/>
        <v>950.37</v>
      </c>
    </row>
    <row r="25" spans="1:7" x14ac:dyDescent="0.3">
      <c r="B25" s="29" t="s">
        <v>55</v>
      </c>
      <c r="C25" s="29" t="s">
        <v>26</v>
      </c>
      <c r="D25" s="31">
        <f>SUM(D17:D23)</f>
        <v>50096.80488757143</v>
      </c>
      <c r="E25" s="31">
        <f t="shared" ref="E25" si="4">SUM(E17:E23)</f>
        <v>79271.574708284475</v>
      </c>
      <c r="F25" s="31">
        <f>SUM(F17:F23)</f>
        <v>129368.37959585589</v>
      </c>
    </row>
    <row r="27" spans="1:7" x14ac:dyDescent="0.3">
      <c r="B27" s="29" t="s">
        <v>83</v>
      </c>
      <c r="C27" s="29" t="s">
        <v>84</v>
      </c>
      <c r="D27" s="29">
        <v>40</v>
      </c>
    </row>
    <row r="29" spans="1:7" x14ac:dyDescent="0.3">
      <c r="A29" s="29" t="s">
        <v>85</v>
      </c>
      <c r="C29" s="29" t="s">
        <v>26</v>
      </c>
      <c r="D29" s="31">
        <f>F25-'Table 1'!F25</f>
        <v>25748.619628284068</v>
      </c>
      <c r="G29" s="34" t="s">
        <v>133</v>
      </c>
    </row>
    <row r="30" spans="1:7" x14ac:dyDescent="0.3">
      <c r="A30" s="29" t="s">
        <v>86</v>
      </c>
      <c r="C30" s="29" t="s">
        <v>87</v>
      </c>
      <c r="D30" s="31">
        <f>D29/D27</f>
        <v>643.71549070710171</v>
      </c>
      <c r="G30" s="34">
        <v>641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1</vt:lpstr>
      <vt:lpstr>Table 2</vt:lpstr>
      <vt:lpstr>Figure 2</vt:lpstr>
      <vt:lpstr>Table 3</vt:lpstr>
      <vt:lpstr>Scenario 1</vt:lpstr>
      <vt:lpstr>Scenario 2</vt:lpstr>
      <vt:lpstr>Scenario 3</vt:lpstr>
      <vt:lpstr>Scenario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jiaqian</dc:creator>
  <cp:lastModifiedBy>David Werner</cp:lastModifiedBy>
  <dcterms:created xsi:type="dcterms:W3CDTF">2015-06-05T18:17:20Z</dcterms:created>
  <dcterms:modified xsi:type="dcterms:W3CDTF">2021-10-27T12:45:31Z</dcterms:modified>
</cp:coreProperties>
</file>