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06"/>
  <workbookPr defaultThemeVersion="166925"/>
  <mc:AlternateContent xmlns:mc="http://schemas.openxmlformats.org/markup-compatibility/2006">
    <mc:Choice Requires="x15">
      <x15ac:absPath xmlns:x15ac="http://schemas.microsoft.com/office/spreadsheetml/2010/11/ac" url="https://newcastle.sharepoint.com/sites/IUSBifactorReview/Shared Documents/General/Excel files - data analysis/research data repository/"/>
    </mc:Choice>
  </mc:AlternateContent>
  <xr:revisionPtr revIDLastSave="52" documentId="8_{374B3A20-6123-4DF5-ADB7-097E22A074FC}" xr6:coauthVersionLast="47" xr6:coauthVersionMax="47" xr10:uidLastSave="{5D372F03-A2DB-491A-9C32-DCF1E6306D81}"/>
  <bookViews>
    <workbookView xWindow="-120" yWindow="-120" windowWidth="20730" windowHeight="11160" firstSheet="1" activeTab="2" xr2:uid="{A7514E40-886B-4169-89BB-2F346E458BA2}"/>
  </bookViews>
  <sheets>
    <sheet name="Summary" sheetId="7" r:id="rId1"/>
    <sheet name="COSMIN - agreed ratings" sheetId="6" r:id="rId2"/>
    <sheet name="Weighted means, CIs, summary" sheetId="8" r:id="rId3"/>
    <sheet name="Calculation of weighted means" sheetId="3" r:id="rId4"/>
    <sheet name="Agreed raw factor loadings" sheetId="2" r:id="rId5"/>
  </sheets>
  <externalReferences>
    <externalReference r:id="rId6"/>
    <externalReference r:id="rId7"/>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8" l="1"/>
  <c r="BF16" i="8"/>
  <c r="AN16" i="8"/>
  <c r="AO16" i="8" s="1"/>
  <c r="AL16" i="8"/>
  <c r="AK16" i="8"/>
  <c r="AJ16" i="8"/>
  <c r="AM16" i="8" s="1"/>
  <c r="AB16" i="8"/>
  <c r="Z16" i="8"/>
  <c r="S16" i="8"/>
  <c r="Q16" i="8"/>
  <c r="N16" i="8"/>
  <c r="W16" i="8" s="1"/>
  <c r="L16" i="8"/>
  <c r="BF15" i="8"/>
  <c r="AN15" i="8"/>
  <c r="AO15" i="8" s="1"/>
  <c r="AL15" i="8"/>
  <c r="AK15" i="8"/>
  <c r="AJ15" i="8"/>
  <c r="AM15" i="8" s="1"/>
  <c r="AB15" i="8"/>
  <c r="Z15" i="8"/>
  <c r="S15" i="8"/>
  <c r="Q15" i="8"/>
  <c r="N15" i="8"/>
  <c r="W15" i="8" s="1"/>
  <c r="L15" i="8"/>
  <c r="BF14" i="8"/>
  <c r="AN14" i="8"/>
  <c r="AO14" i="8" s="1"/>
  <c r="AL14" i="8"/>
  <c r="AK14" i="8"/>
  <c r="AJ14" i="8"/>
  <c r="AM14" i="8" s="1"/>
  <c r="AB14" i="8"/>
  <c r="Z14" i="8"/>
  <c r="S14" i="8"/>
  <c r="Q14" i="8"/>
  <c r="N14" i="8"/>
  <c r="W14" i="8" s="1"/>
  <c r="L14" i="8"/>
  <c r="BF13" i="8"/>
  <c r="AN13" i="8"/>
  <c r="AO13" i="8" s="1"/>
  <c r="AL13" i="8"/>
  <c r="AK13" i="8"/>
  <c r="AJ13" i="8"/>
  <c r="AM13" i="8" s="1"/>
  <c r="AB13" i="8"/>
  <c r="Z13" i="8"/>
  <c r="S13" i="8"/>
  <c r="Q13" i="8"/>
  <c r="N13" i="8"/>
  <c r="W13" i="8" s="1"/>
  <c r="L13" i="8"/>
  <c r="BF12" i="8"/>
  <c r="AN12" i="8"/>
  <c r="AO12" i="8" s="1"/>
  <c r="AL12" i="8"/>
  <c r="AK12" i="8"/>
  <c r="AJ12" i="8"/>
  <c r="AM12" i="8" s="1"/>
  <c r="AB12" i="8"/>
  <c r="Z12" i="8"/>
  <c r="S12" i="8"/>
  <c r="Q12" i="8"/>
  <c r="N12" i="8"/>
  <c r="W12" i="8" s="1"/>
  <c r="W18" i="8" s="1"/>
  <c r="L12" i="8"/>
  <c r="AX10" i="8"/>
  <c r="AY10" i="8" s="1"/>
  <c r="AZ10" i="8" s="1"/>
  <c r="AW10" i="8"/>
  <c r="AV10" i="8"/>
  <c r="AU10" i="8"/>
  <c r="AL10" i="8"/>
  <c r="AK10" i="8"/>
  <c r="AJ10" i="8"/>
  <c r="AA10" i="8"/>
  <c r="Z10" i="8"/>
  <c r="R10" i="8"/>
  <c r="Q10" i="8"/>
  <c r="M10" i="8"/>
  <c r="V10" i="8" s="1"/>
  <c r="L10" i="8"/>
  <c r="U10" i="8" s="1"/>
  <c r="AW9" i="8"/>
  <c r="AV9" i="8"/>
  <c r="AU9" i="8"/>
  <c r="AM9" i="8"/>
  <c r="AN9" i="8" s="1"/>
  <c r="AO9" i="8" s="1"/>
  <c r="AL9" i="8"/>
  <c r="AK9" i="8"/>
  <c r="AJ9" i="8"/>
  <c r="AA9" i="8"/>
  <c r="Z9" i="8"/>
  <c r="V9" i="8"/>
  <c r="R9" i="8"/>
  <c r="Q9" i="8"/>
  <c r="M9" i="8"/>
  <c r="L9" i="8"/>
  <c r="U9" i="8" s="1"/>
  <c r="BH8" i="8"/>
  <c r="BG8" i="8"/>
  <c r="BF8" i="8"/>
  <c r="BI8" i="8" s="1"/>
  <c r="BJ8" i="8" s="1"/>
  <c r="BK8" i="8" s="1"/>
  <c r="AW8" i="8"/>
  <c r="AX8" i="8" s="1"/>
  <c r="AY8" i="8" s="1"/>
  <c r="AZ8" i="8" s="1"/>
  <c r="AV8" i="8"/>
  <c r="AU8" i="8"/>
  <c r="AM8" i="8"/>
  <c r="AN8" i="8" s="1"/>
  <c r="AO8" i="8" s="1"/>
  <c r="AL8" i="8"/>
  <c r="AK8" i="8"/>
  <c r="AJ8" i="8"/>
  <c r="AA8" i="8"/>
  <c r="Z8" i="8"/>
  <c r="R8" i="8"/>
  <c r="Q8" i="8"/>
  <c r="M8" i="8"/>
  <c r="V8" i="8" s="1"/>
  <c r="L8" i="8"/>
  <c r="BI7" i="8"/>
  <c r="BJ7" i="8" s="1"/>
  <c r="BK7" i="8" s="1"/>
  <c r="BH7" i="8"/>
  <c r="BG7" i="8"/>
  <c r="BF7" i="8"/>
  <c r="AW7" i="8"/>
  <c r="AV7" i="8"/>
  <c r="AU7" i="8"/>
  <c r="AM7" i="8"/>
  <c r="AN7" i="8" s="1"/>
  <c r="AO7" i="8" s="1"/>
  <c r="AL7" i="8"/>
  <c r="AK7" i="8"/>
  <c r="AJ7" i="8"/>
  <c r="AA7" i="8"/>
  <c r="Z7" i="8"/>
  <c r="V7" i="8"/>
  <c r="R7" i="8"/>
  <c r="Q7" i="8"/>
  <c r="M7" i="8"/>
  <c r="L7" i="8"/>
  <c r="U7" i="8" s="1"/>
  <c r="BH6" i="8"/>
  <c r="BG6" i="8"/>
  <c r="BF6" i="8"/>
  <c r="BI6" i="8" s="1"/>
  <c r="BJ6" i="8" s="1"/>
  <c r="BK6" i="8" s="1"/>
  <c r="AW6" i="8"/>
  <c r="AX6" i="8" s="1"/>
  <c r="AY6" i="8" s="1"/>
  <c r="AZ6" i="8" s="1"/>
  <c r="AV6" i="8"/>
  <c r="AU6" i="8"/>
  <c r="AM6" i="8"/>
  <c r="AN6" i="8" s="1"/>
  <c r="AO6" i="8" s="1"/>
  <c r="AL6" i="8"/>
  <c r="AK6" i="8"/>
  <c r="AJ6" i="8"/>
  <c r="AA6" i="8"/>
  <c r="Z6" i="8"/>
  <c r="R6" i="8"/>
  <c r="Q6" i="8"/>
  <c r="M6" i="8"/>
  <c r="V6" i="8" s="1"/>
  <c r="L6" i="8"/>
  <c r="BI5" i="8"/>
  <c r="BJ5" i="8" s="1"/>
  <c r="BK5" i="8" s="1"/>
  <c r="BH5" i="8"/>
  <c r="BG5" i="8"/>
  <c r="BF5" i="8"/>
  <c r="AW5" i="8"/>
  <c r="AV5" i="8"/>
  <c r="AU5" i="8"/>
  <c r="AM5" i="8"/>
  <c r="AN5" i="8" s="1"/>
  <c r="AO5" i="8" s="1"/>
  <c r="AL5" i="8"/>
  <c r="AK5" i="8"/>
  <c r="AJ5" i="8"/>
  <c r="AA5" i="8"/>
  <c r="Z5" i="8"/>
  <c r="V5" i="8"/>
  <c r="R5" i="8"/>
  <c r="Q5" i="8"/>
  <c r="M5" i="8"/>
  <c r="L5" i="8"/>
  <c r="U5" i="8" s="1"/>
  <c r="BH4" i="8"/>
  <c r="BG4" i="8"/>
  <c r="BF4" i="8"/>
  <c r="BI4" i="8" s="1"/>
  <c r="BJ4" i="8" s="1"/>
  <c r="BK4" i="8" s="1"/>
  <c r="AW4" i="8"/>
  <c r="AX4" i="8" s="1"/>
  <c r="AY4" i="8" s="1"/>
  <c r="AZ4" i="8" s="1"/>
  <c r="AV4" i="8"/>
  <c r="AU4" i="8"/>
  <c r="AM4" i="8"/>
  <c r="AN4" i="8" s="1"/>
  <c r="AO4" i="8" s="1"/>
  <c r="AL4" i="8"/>
  <c r="AK4" i="8"/>
  <c r="AJ4" i="8"/>
  <c r="AA4" i="8"/>
  <c r="Z4" i="8"/>
  <c r="R4" i="8"/>
  <c r="M4" i="8"/>
  <c r="V4" i="8" s="1"/>
  <c r="L4" i="8"/>
  <c r="I2" i="8"/>
  <c r="H2" i="8"/>
  <c r="H5" i="8" s="1"/>
  <c r="H7" i="8" s="1"/>
  <c r="H9" i="8" s="1"/>
  <c r="E9" i="8" s="1"/>
  <c r="G2" i="8"/>
  <c r="G4" i="8" s="1"/>
  <c r="BA9" i="8" l="1"/>
  <c r="AF9" i="8"/>
  <c r="D4" i="8"/>
  <c r="G6" i="8"/>
  <c r="G5" i="8"/>
  <c r="V18" i="8"/>
  <c r="AX5" i="8"/>
  <c r="AY5" i="8" s="1"/>
  <c r="AZ5" i="8" s="1"/>
  <c r="AX7" i="8"/>
  <c r="AY7" i="8" s="1"/>
  <c r="AZ7" i="8" s="1"/>
  <c r="AX9" i="8"/>
  <c r="AY9" i="8" s="1"/>
  <c r="AZ9" i="8" s="1"/>
  <c r="AM10" i="8"/>
  <c r="AN10" i="8" s="1"/>
  <c r="AO10" i="8" s="1"/>
  <c r="H4" i="8"/>
  <c r="U4" i="8"/>
  <c r="E5" i="8"/>
  <c r="U6" i="8"/>
  <c r="E7" i="8"/>
  <c r="U8" i="8"/>
  <c r="U12" i="8"/>
  <c r="U13" i="8"/>
  <c r="U14" i="8"/>
  <c r="U15" i="8"/>
  <c r="U16" i="8"/>
  <c r="U18" i="8" l="1"/>
  <c r="D6" i="8"/>
  <c r="G8" i="8"/>
  <c r="BA7" i="8"/>
  <c r="AF7" i="8"/>
  <c r="H6" i="8"/>
  <c r="E4" i="8"/>
  <c r="AP4" i="8"/>
  <c r="AE4" i="8"/>
  <c r="AQ4" i="8"/>
  <c r="AR4" i="8"/>
  <c r="AS4" i="8" s="1"/>
  <c r="BA5" i="8"/>
  <c r="AF5" i="8"/>
  <c r="D5" i="8"/>
  <c r="G7" i="8"/>
  <c r="BC9" i="8"/>
  <c r="BB9" i="8"/>
  <c r="BA4" i="8" l="1"/>
  <c r="AF4" i="8"/>
  <c r="D7" i="8"/>
  <c r="G9" i="8"/>
  <c r="D9" i="8" s="1"/>
  <c r="H8" i="8"/>
  <c r="E6" i="8"/>
  <c r="AP6" i="8"/>
  <c r="AE6" i="8"/>
  <c r="AQ6" i="8"/>
  <c r="AR6" i="8"/>
  <c r="AS6" i="8" s="1"/>
  <c r="BC7" i="8"/>
  <c r="BB7" i="8"/>
  <c r="BD9" i="8"/>
  <c r="BC5" i="8"/>
  <c r="BB5" i="8"/>
  <c r="G10" i="8"/>
  <c r="D8" i="8"/>
  <c r="AP5" i="8"/>
  <c r="AE5" i="8"/>
  <c r="AR5" i="8"/>
  <c r="AS5" i="8" s="1"/>
  <c r="AQ5" i="8"/>
  <c r="BD7" i="8" l="1"/>
  <c r="AP9" i="8"/>
  <c r="AE9" i="8"/>
  <c r="AR9" i="8"/>
  <c r="AS9" i="8" s="1"/>
  <c r="AQ9" i="8"/>
  <c r="BD5" i="8"/>
  <c r="BA6" i="8"/>
  <c r="AF6" i="8"/>
  <c r="AP7" i="8"/>
  <c r="AE7" i="8"/>
  <c r="AR7" i="8"/>
  <c r="AQ7" i="8"/>
  <c r="BC4" i="8"/>
  <c r="BD4" i="8" s="1"/>
  <c r="BB4" i="8"/>
  <c r="G12" i="8"/>
  <c r="D10" i="8"/>
  <c r="AP8" i="8"/>
  <c r="AE8" i="8"/>
  <c r="AR8" i="8"/>
  <c r="AQ8" i="8"/>
  <c r="H10" i="8"/>
  <c r="E10" i="8" s="1"/>
  <c r="E8" i="8"/>
  <c r="E18" i="8" s="1"/>
  <c r="E20" i="8" l="1"/>
  <c r="AS8" i="8"/>
  <c r="D12" i="8"/>
  <c r="F12" i="8"/>
  <c r="G13" i="8"/>
  <c r="BC6" i="8"/>
  <c r="BD6" i="8" s="1"/>
  <c r="BD19" i="8" s="1"/>
  <c r="BB6" i="8"/>
  <c r="BA8" i="8"/>
  <c r="AF8" i="8"/>
  <c r="AF18" i="8" s="1"/>
  <c r="E19" i="8"/>
  <c r="BA10" i="8"/>
  <c r="AF10" i="8"/>
  <c r="AR10" i="8"/>
  <c r="AS10" i="8" s="1"/>
  <c r="AQ10" i="8"/>
  <c r="AE10" i="8"/>
  <c r="AP10" i="8"/>
  <c r="AS7" i="8"/>
  <c r="BC8" i="8" l="1"/>
  <c r="BD8" i="8" s="1"/>
  <c r="BB8" i="8"/>
  <c r="AQ12" i="8"/>
  <c r="AP12" i="8"/>
  <c r="AE12" i="8"/>
  <c r="AR12" i="8"/>
  <c r="BB10" i="8"/>
  <c r="BC10" i="8"/>
  <c r="BD10" i="8" s="1"/>
  <c r="D13" i="8"/>
  <c r="G14" i="8"/>
  <c r="F13" i="8"/>
  <c r="AG12" i="8"/>
  <c r="BL4" i="8"/>
  <c r="AG13" i="8" l="1"/>
  <c r="BL5" i="8"/>
  <c r="D14" i="8"/>
  <c r="F14" i="8"/>
  <c r="G15" i="8"/>
  <c r="AS12" i="8"/>
  <c r="BN4" i="8"/>
  <c r="BM4" i="8"/>
  <c r="AQ13" i="8"/>
  <c r="AP13" i="8"/>
  <c r="AE13" i="8"/>
  <c r="AR13" i="8"/>
  <c r="AS13" i="8" s="1"/>
  <c r="AG14" i="8" l="1"/>
  <c r="BL6" i="8"/>
  <c r="AQ14" i="8"/>
  <c r="AP14" i="8"/>
  <c r="AE14" i="8"/>
  <c r="AR14" i="8"/>
  <c r="BO4" i="8"/>
  <c r="D15" i="8"/>
  <c r="F15" i="8"/>
  <c r="G16" i="8"/>
  <c r="BM5" i="8"/>
  <c r="BN5" i="8"/>
  <c r="BO5" i="8" s="1"/>
  <c r="AQ15" i="8" l="1"/>
  <c r="AP15" i="8"/>
  <c r="AE15" i="8"/>
  <c r="AR15" i="8"/>
  <c r="AS15" i="8" s="1"/>
  <c r="AS14" i="8"/>
  <c r="AG15" i="8"/>
  <c r="BL7" i="8"/>
  <c r="BN6" i="8"/>
  <c r="BM6" i="8"/>
  <c r="D16" i="8"/>
  <c r="F16" i="8"/>
  <c r="F19" i="8" s="1"/>
  <c r="BM7" i="8" l="1"/>
  <c r="BN7" i="8"/>
  <c r="BO7" i="8" s="1"/>
  <c r="BO6" i="8"/>
  <c r="AG16" i="8"/>
  <c r="AG18" i="8" s="1"/>
  <c r="BL8" i="8"/>
  <c r="F20" i="8"/>
  <c r="AQ16" i="8"/>
  <c r="AP16" i="8"/>
  <c r="AE16" i="8"/>
  <c r="AR16" i="8"/>
  <c r="D20" i="8"/>
  <c r="D18" i="8"/>
  <c r="D19" i="8"/>
  <c r="F18" i="8"/>
  <c r="AS16" i="8" l="1"/>
  <c r="AS19" i="8" s="1"/>
  <c r="AE22" i="8"/>
  <c r="AE20" i="8"/>
  <c r="AE18" i="8"/>
  <c r="AE21" i="8"/>
  <c r="BN8" i="8"/>
  <c r="BM8" i="8"/>
  <c r="BO8" i="8" l="1"/>
  <c r="BO19" i="8" s="1"/>
  <c r="I24" i="7" l="1"/>
  <c r="I23" i="7"/>
  <c r="C20" i="7"/>
  <c r="C19" i="7"/>
  <c r="C18" i="7"/>
  <c r="C17" i="7"/>
  <c r="C16" i="7"/>
  <c r="C15" i="7"/>
  <c r="C14" i="7"/>
  <c r="C13" i="7"/>
  <c r="C12" i="7"/>
  <c r="C11" i="7"/>
  <c r="C10" i="7"/>
  <c r="C9" i="7"/>
  <c r="C8" i="7"/>
  <c r="C7" i="7"/>
  <c r="C6" i="7"/>
  <c r="C4" i="7"/>
  <c r="C3" i="7"/>
  <c r="C2" i="7"/>
  <c r="B2" i="7"/>
  <c r="B24" i="7" s="1"/>
  <c r="P28" i="6" l="1"/>
  <c r="N28" i="6"/>
  <c r="L28" i="6"/>
  <c r="K28" i="6"/>
  <c r="J28" i="6"/>
  <c r="I28" i="6"/>
  <c r="H28" i="6"/>
  <c r="G28" i="6"/>
  <c r="F28" i="6"/>
  <c r="E28" i="6"/>
  <c r="M28" i="6" s="1"/>
  <c r="D28" i="6"/>
  <c r="C28" i="6"/>
  <c r="P27" i="6"/>
  <c r="L27" i="6"/>
  <c r="K27" i="6"/>
  <c r="J27" i="6"/>
  <c r="I27" i="6"/>
  <c r="H27" i="6"/>
  <c r="G27" i="6"/>
  <c r="F27" i="6"/>
  <c r="E27" i="6"/>
  <c r="D27" i="6"/>
  <c r="C27" i="6"/>
  <c r="M27" i="6" s="1"/>
  <c r="P26" i="6"/>
  <c r="M26" i="6"/>
  <c r="L26" i="6"/>
  <c r="K26" i="6"/>
  <c r="J26" i="6"/>
  <c r="I26" i="6"/>
  <c r="H26" i="6"/>
  <c r="G26" i="6"/>
  <c r="F26" i="6"/>
  <c r="E26" i="6"/>
  <c r="D26" i="6"/>
  <c r="C26" i="6"/>
  <c r="N26" i="6" s="1"/>
  <c r="P25" i="6"/>
  <c r="L25" i="6"/>
  <c r="K25" i="6"/>
  <c r="J25" i="6"/>
  <c r="I25" i="6"/>
  <c r="H25" i="6"/>
  <c r="G25" i="6"/>
  <c r="F25" i="6"/>
  <c r="E25" i="6"/>
  <c r="N25" i="6" s="1"/>
  <c r="D25" i="6"/>
  <c r="C25" i="6"/>
  <c r="P24" i="6"/>
  <c r="L24" i="6"/>
  <c r="K24" i="6"/>
  <c r="J24" i="6"/>
  <c r="I24" i="6"/>
  <c r="H24" i="6"/>
  <c r="G24" i="6"/>
  <c r="F24" i="6"/>
  <c r="N24" i="6" s="1"/>
  <c r="E24" i="6"/>
  <c r="D24" i="6"/>
  <c r="C24" i="6"/>
  <c r="M24" i="6" s="1"/>
  <c r="P23" i="6"/>
  <c r="L23" i="6"/>
  <c r="K23" i="6"/>
  <c r="J23" i="6"/>
  <c r="I23" i="6"/>
  <c r="H23" i="6"/>
  <c r="G23" i="6"/>
  <c r="F23" i="6"/>
  <c r="E23" i="6"/>
  <c r="D23" i="6"/>
  <c r="C23" i="6"/>
  <c r="M23" i="6" s="1"/>
  <c r="P22" i="6"/>
  <c r="L22" i="6"/>
  <c r="K22" i="6"/>
  <c r="J22" i="6"/>
  <c r="I22" i="6"/>
  <c r="H22" i="6"/>
  <c r="G22" i="6"/>
  <c r="F22" i="6"/>
  <c r="E22" i="6"/>
  <c r="D22" i="6"/>
  <c r="M22" i="6" s="1"/>
  <c r="C22" i="6"/>
  <c r="N22" i="6" s="1"/>
  <c r="P17" i="6"/>
  <c r="L17" i="6"/>
  <c r="K17" i="6"/>
  <c r="J17" i="6"/>
  <c r="I17" i="6"/>
  <c r="H17" i="6"/>
  <c r="G17" i="6"/>
  <c r="F17" i="6"/>
  <c r="E17" i="6"/>
  <c r="N17" i="6" s="1"/>
  <c r="D17" i="6"/>
  <c r="C17" i="6"/>
  <c r="P16" i="6"/>
  <c r="L16" i="6"/>
  <c r="K16" i="6"/>
  <c r="J16" i="6"/>
  <c r="I16" i="6"/>
  <c r="H16" i="6"/>
  <c r="G16" i="6"/>
  <c r="F16" i="6"/>
  <c r="N16" i="6" s="1"/>
  <c r="E16" i="6"/>
  <c r="D16" i="6"/>
  <c r="C16" i="6"/>
  <c r="M16" i="6" s="1"/>
  <c r="P15" i="6"/>
  <c r="L15" i="6"/>
  <c r="K15" i="6"/>
  <c r="J15" i="6"/>
  <c r="I15" i="6"/>
  <c r="H15" i="6"/>
  <c r="G15" i="6"/>
  <c r="F15" i="6"/>
  <c r="E15" i="6"/>
  <c r="D15" i="6"/>
  <c r="C15" i="6"/>
  <c r="M15" i="6" s="1"/>
  <c r="P14" i="6"/>
  <c r="L14" i="6"/>
  <c r="K14" i="6"/>
  <c r="J14" i="6"/>
  <c r="I14" i="6"/>
  <c r="H14" i="6"/>
  <c r="G14" i="6"/>
  <c r="F14" i="6"/>
  <c r="E14" i="6"/>
  <c r="D14" i="6"/>
  <c r="M14" i="6" s="1"/>
  <c r="C14" i="6"/>
  <c r="N14" i="6" s="1"/>
  <c r="P9" i="6"/>
  <c r="L9" i="6"/>
  <c r="K9" i="6"/>
  <c r="J9" i="6"/>
  <c r="I9" i="6"/>
  <c r="H9" i="6"/>
  <c r="G9" i="6"/>
  <c r="F9" i="6"/>
  <c r="E9" i="6"/>
  <c r="N9" i="6" s="1"/>
  <c r="D9" i="6"/>
  <c r="C9" i="6"/>
  <c r="P8" i="6"/>
  <c r="L8" i="6"/>
  <c r="K8" i="6"/>
  <c r="J8" i="6"/>
  <c r="I8" i="6"/>
  <c r="H8" i="6"/>
  <c r="G8" i="6"/>
  <c r="F8" i="6"/>
  <c r="N8" i="6" s="1"/>
  <c r="E8" i="6"/>
  <c r="D8" i="6"/>
  <c r="C8" i="6"/>
  <c r="M8" i="6" s="1"/>
  <c r="P7" i="6"/>
  <c r="L7" i="6"/>
  <c r="K7" i="6"/>
  <c r="J7" i="6"/>
  <c r="I7" i="6"/>
  <c r="H7" i="6"/>
  <c r="G7" i="6"/>
  <c r="F7" i="6"/>
  <c r="E7" i="6"/>
  <c r="D7" i="6"/>
  <c r="C7" i="6"/>
  <c r="M7" i="6" s="1"/>
  <c r="M9" i="6" l="1"/>
  <c r="M25" i="6"/>
  <c r="N7" i="6"/>
  <c r="N15" i="6"/>
  <c r="N23" i="6"/>
  <c r="N27" i="6"/>
  <c r="M17" i="6"/>
  <c r="Q41" i="3"/>
  <c r="L41" i="3"/>
  <c r="G41" i="3"/>
  <c r="E31" i="3"/>
  <c r="C31" i="3"/>
  <c r="E30" i="3"/>
  <c r="C30" i="3"/>
  <c r="E29" i="3"/>
  <c r="C29" i="3"/>
  <c r="E28" i="3"/>
  <c r="C28" i="3"/>
  <c r="E27" i="3"/>
  <c r="C27" i="3"/>
  <c r="D25" i="3"/>
  <c r="C25" i="3"/>
  <c r="V24" i="3"/>
  <c r="D24" i="3"/>
  <c r="C24" i="3"/>
  <c r="D23" i="3"/>
  <c r="C23" i="3"/>
  <c r="D22" i="3"/>
  <c r="C22" i="3"/>
  <c r="D21" i="3"/>
  <c r="BF21" i="3" s="1"/>
  <c r="C21" i="3"/>
  <c r="D20" i="3"/>
  <c r="C20" i="3"/>
  <c r="D19" i="3"/>
  <c r="C19" i="3"/>
  <c r="BW16" i="3"/>
  <c r="BW31" i="3" s="1"/>
  <c r="BV16" i="3"/>
  <c r="BT16" i="3"/>
  <c r="BR16" i="3"/>
  <c r="BR19" i="3" s="1"/>
  <c r="BR20" i="3" s="1"/>
  <c r="BQ16" i="3"/>
  <c r="BO16" i="3"/>
  <c r="BM16" i="3"/>
  <c r="BM19" i="3" s="1"/>
  <c r="BL16" i="3"/>
  <c r="BJ16" i="3"/>
  <c r="BH16" i="3"/>
  <c r="BH19" i="3" s="1"/>
  <c r="BG16" i="3"/>
  <c r="BE16" i="3"/>
  <c r="BC16" i="3"/>
  <c r="BC19" i="3" s="1"/>
  <c r="BB16" i="3"/>
  <c r="AZ16" i="3"/>
  <c r="AX16" i="3"/>
  <c r="AX19" i="3" s="1"/>
  <c r="AX20" i="3" s="1"/>
  <c r="AW16" i="3"/>
  <c r="AU16" i="3"/>
  <c r="AS16" i="3"/>
  <c r="AS19" i="3" s="1"/>
  <c r="AR16" i="3"/>
  <c r="AP16" i="3"/>
  <c r="AN16" i="3"/>
  <c r="AN19" i="3" s="1"/>
  <c r="AM16" i="3"/>
  <c r="AK16" i="3"/>
  <c r="AI16" i="3"/>
  <c r="AI19" i="3" s="1"/>
  <c r="AH16" i="3"/>
  <c r="AF16" i="3"/>
  <c r="AD16" i="3"/>
  <c r="AD19" i="3" s="1"/>
  <c r="AC16" i="3"/>
  <c r="AA16" i="3"/>
  <c r="Y16" i="3"/>
  <c r="Y19" i="3" s="1"/>
  <c r="X16" i="3"/>
  <c r="V16" i="3"/>
  <c r="T16" i="3"/>
  <c r="T19" i="3" s="1"/>
  <c r="T20" i="3" s="1"/>
  <c r="T21" i="3" s="1"/>
  <c r="T22" i="3" s="1"/>
  <c r="T23" i="3" s="1"/>
  <c r="T24" i="3" s="1"/>
  <c r="T25" i="3" s="1"/>
  <c r="T27" i="3" s="1"/>
  <c r="T28" i="3" s="1"/>
  <c r="T29" i="3" s="1"/>
  <c r="T30" i="3" s="1"/>
  <c r="T31" i="3" s="1"/>
  <c r="S16" i="3"/>
  <c r="Q16" i="3"/>
  <c r="O16" i="3"/>
  <c r="O19" i="3" s="1"/>
  <c r="O20" i="3" s="1"/>
  <c r="O21" i="3" s="1"/>
  <c r="O22" i="3" s="1"/>
  <c r="O23" i="3" s="1"/>
  <c r="O24" i="3" s="1"/>
  <c r="O25" i="3" s="1"/>
  <c r="O27" i="3" s="1"/>
  <c r="O28" i="3" s="1"/>
  <c r="O29" i="3" s="1"/>
  <c r="O30" i="3" s="1"/>
  <c r="O31" i="3" s="1"/>
  <c r="N16" i="3"/>
  <c r="L16" i="3"/>
  <c r="I16" i="3"/>
  <c r="G16" i="3"/>
  <c r="BW15" i="3"/>
  <c r="BW30" i="3" s="1"/>
  <c r="BV15" i="3"/>
  <c r="BT15" i="3"/>
  <c r="BR15" i="3"/>
  <c r="BQ15" i="3"/>
  <c r="BO15" i="3"/>
  <c r="BM15" i="3"/>
  <c r="BL15" i="3"/>
  <c r="BJ15" i="3"/>
  <c r="BH15" i="3"/>
  <c r="BG15" i="3"/>
  <c r="BE15" i="3"/>
  <c r="BC15" i="3"/>
  <c r="BB15" i="3"/>
  <c r="BB30" i="3" s="1"/>
  <c r="AZ15" i="3"/>
  <c r="AX15" i="3"/>
  <c r="AW15" i="3"/>
  <c r="AU15" i="3"/>
  <c r="AS15" i="3"/>
  <c r="AR15" i="3"/>
  <c r="AP15" i="3"/>
  <c r="AN15" i="3"/>
  <c r="AM15" i="3"/>
  <c r="AK15" i="3"/>
  <c r="AI15" i="3"/>
  <c r="AH15" i="3"/>
  <c r="AF15" i="3"/>
  <c r="AD15" i="3"/>
  <c r="AC15" i="3"/>
  <c r="AA15" i="3"/>
  <c r="Y15" i="3"/>
  <c r="X15" i="3"/>
  <c r="V15" i="3"/>
  <c r="T15" i="3"/>
  <c r="S15" i="3"/>
  <c r="Q15" i="3"/>
  <c r="O15" i="3"/>
  <c r="N15" i="3"/>
  <c r="L15" i="3"/>
  <c r="I15" i="3"/>
  <c r="G15" i="3"/>
  <c r="BW14" i="3"/>
  <c r="BW29" i="3" s="1"/>
  <c r="BV14" i="3"/>
  <c r="BT14" i="3"/>
  <c r="BR14" i="3"/>
  <c r="BQ14" i="3"/>
  <c r="BO14" i="3"/>
  <c r="BM14" i="3"/>
  <c r="BL14" i="3"/>
  <c r="BJ14" i="3"/>
  <c r="BH14" i="3"/>
  <c r="BG14" i="3"/>
  <c r="BE14" i="3"/>
  <c r="BC14" i="3"/>
  <c r="BB14" i="3"/>
  <c r="BB29" i="3" s="1"/>
  <c r="AZ14" i="3"/>
  <c r="AX14" i="3"/>
  <c r="AW14" i="3"/>
  <c r="AU14" i="3"/>
  <c r="AS14" i="3"/>
  <c r="AR14" i="3"/>
  <c r="AP14" i="3"/>
  <c r="AN14" i="3"/>
  <c r="AM14" i="3"/>
  <c r="AK14" i="3"/>
  <c r="AI14" i="3"/>
  <c r="AH14" i="3"/>
  <c r="AF14" i="3"/>
  <c r="AD14" i="3"/>
  <c r="AC14" i="3"/>
  <c r="AA14" i="3"/>
  <c r="Y14" i="3"/>
  <c r="X14" i="3"/>
  <c r="V14" i="3"/>
  <c r="T14" i="3"/>
  <c r="S14" i="3"/>
  <c r="Q14" i="3"/>
  <c r="O14" i="3"/>
  <c r="N14" i="3"/>
  <c r="L14" i="3"/>
  <c r="I14" i="3"/>
  <c r="G14" i="3"/>
  <c r="BW13" i="3"/>
  <c r="BW28" i="3" s="1"/>
  <c r="BV13" i="3"/>
  <c r="BT13" i="3"/>
  <c r="BT28" i="3" s="1"/>
  <c r="BR13" i="3"/>
  <c r="BQ13" i="3"/>
  <c r="BO13" i="3"/>
  <c r="BM13" i="3"/>
  <c r="BL13" i="3"/>
  <c r="BJ13" i="3"/>
  <c r="BH13" i="3"/>
  <c r="BG13" i="3"/>
  <c r="BE13" i="3"/>
  <c r="BC13" i="3"/>
  <c r="BB13" i="3"/>
  <c r="AZ13" i="3"/>
  <c r="AZ28" i="3" s="1"/>
  <c r="AX13" i="3"/>
  <c r="AW13" i="3"/>
  <c r="AU13" i="3"/>
  <c r="AS13" i="3"/>
  <c r="AR13" i="3"/>
  <c r="AP13" i="3"/>
  <c r="AN13" i="3"/>
  <c r="AM13" i="3"/>
  <c r="AK13" i="3"/>
  <c r="AI13" i="3"/>
  <c r="AH13" i="3"/>
  <c r="AF13" i="3"/>
  <c r="AF28" i="3" s="1"/>
  <c r="AD13" i="3"/>
  <c r="AC13" i="3"/>
  <c r="AA13" i="3"/>
  <c r="Y13" i="3"/>
  <c r="X13" i="3"/>
  <c r="V13" i="3"/>
  <c r="V28" i="3" s="1"/>
  <c r="T13" i="3"/>
  <c r="S13" i="3"/>
  <c r="Q13" i="3"/>
  <c r="O13" i="3"/>
  <c r="N13" i="3"/>
  <c r="L13" i="3"/>
  <c r="L28" i="3" s="1"/>
  <c r="L43" i="3" s="1"/>
  <c r="I13" i="3"/>
  <c r="G13" i="3"/>
  <c r="G28" i="3" s="1"/>
  <c r="BW12" i="3"/>
  <c r="BW27" i="3" s="1"/>
  <c r="BV12" i="3"/>
  <c r="BT12" i="3"/>
  <c r="BR12" i="3"/>
  <c r="BQ12" i="3"/>
  <c r="BO12" i="3"/>
  <c r="BM12" i="3"/>
  <c r="BL12" i="3"/>
  <c r="BJ12" i="3"/>
  <c r="BH12" i="3"/>
  <c r="BG12" i="3"/>
  <c r="BE12" i="3"/>
  <c r="BC12" i="3"/>
  <c r="BB12" i="3"/>
  <c r="AZ12" i="3"/>
  <c r="AX12" i="3"/>
  <c r="AW12" i="3"/>
  <c r="AU12" i="3"/>
  <c r="AS12" i="3"/>
  <c r="AR12" i="3"/>
  <c r="AP12" i="3"/>
  <c r="AN12" i="3"/>
  <c r="AM12" i="3"/>
  <c r="AM27" i="3" s="1"/>
  <c r="AK12" i="3"/>
  <c r="AI12" i="3"/>
  <c r="AH12" i="3"/>
  <c r="AF12" i="3"/>
  <c r="AD12" i="3"/>
  <c r="AC12" i="3"/>
  <c r="AA12" i="3"/>
  <c r="Y12" i="3"/>
  <c r="X12" i="3"/>
  <c r="V12" i="3"/>
  <c r="T12" i="3"/>
  <c r="S12" i="3"/>
  <c r="S27" i="3" s="1"/>
  <c r="S42" i="3" s="1"/>
  <c r="Q12" i="3"/>
  <c r="O12" i="3"/>
  <c r="N12" i="3"/>
  <c r="L12" i="3"/>
  <c r="I12" i="3"/>
  <c r="G12" i="3"/>
  <c r="G11" i="3"/>
  <c r="BW10" i="3"/>
  <c r="BW25" i="3" s="1"/>
  <c r="BU10" i="3"/>
  <c r="BT10" i="3"/>
  <c r="BR10" i="3"/>
  <c r="BP10" i="3"/>
  <c r="BO10" i="3"/>
  <c r="BM10" i="3"/>
  <c r="BK10" i="3"/>
  <c r="BJ10" i="3"/>
  <c r="BH10" i="3"/>
  <c r="BF10" i="3"/>
  <c r="BF25" i="3" s="1"/>
  <c r="BE10" i="3"/>
  <c r="BC10" i="3"/>
  <c r="BA10" i="3"/>
  <c r="AZ10" i="3"/>
  <c r="AX10" i="3"/>
  <c r="AV10" i="3"/>
  <c r="AU10" i="3"/>
  <c r="AS10" i="3"/>
  <c r="AP10" i="3"/>
  <c r="AN10" i="3"/>
  <c r="AL10" i="3"/>
  <c r="AK10" i="3"/>
  <c r="AI10" i="3"/>
  <c r="AG10" i="3"/>
  <c r="AF10" i="3"/>
  <c r="AD10" i="3"/>
  <c r="AB10" i="3"/>
  <c r="AA10" i="3"/>
  <c r="Y10" i="3"/>
  <c r="W10" i="3"/>
  <c r="W25" i="3" s="1"/>
  <c r="V10" i="3"/>
  <c r="T10" i="3"/>
  <c r="R10" i="3"/>
  <c r="Q10" i="3"/>
  <c r="O10" i="3"/>
  <c r="M10" i="3"/>
  <c r="L10" i="3"/>
  <c r="H10" i="3"/>
  <c r="H25" i="3" s="1"/>
  <c r="G10" i="3"/>
  <c r="BW9" i="3"/>
  <c r="BW24" i="3" s="1"/>
  <c r="BU9" i="3"/>
  <c r="BT9" i="3"/>
  <c r="BR9" i="3"/>
  <c r="BP9" i="3"/>
  <c r="BO9" i="3"/>
  <c r="BM9" i="3"/>
  <c r="BK9" i="3"/>
  <c r="BJ9" i="3"/>
  <c r="BH9" i="3"/>
  <c r="BF9" i="3"/>
  <c r="BE9" i="3"/>
  <c r="BE24" i="3" s="1"/>
  <c r="BC9" i="3"/>
  <c r="BA9" i="3"/>
  <c r="AZ9" i="3"/>
  <c r="AX9" i="3"/>
  <c r="AV9" i="3"/>
  <c r="AU9" i="3"/>
  <c r="AS9" i="3"/>
  <c r="AP9" i="3"/>
  <c r="AP24" i="3" s="1"/>
  <c r="AN9" i="3"/>
  <c r="AL9" i="3"/>
  <c r="AK9" i="3"/>
  <c r="AI9" i="3"/>
  <c r="AG9" i="3"/>
  <c r="AF9" i="3"/>
  <c r="AD9" i="3"/>
  <c r="AB9" i="3"/>
  <c r="AA9" i="3"/>
  <c r="Y9" i="3"/>
  <c r="W9" i="3"/>
  <c r="V9" i="3"/>
  <c r="T9" i="3"/>
  <c r="R9" i="3"/>
  <c r="Q9" i="3"/>
  <c r="O9" i="3"/>
  <c r="M9" i="3"/>
  <c r="M24" i="3" s="1"/>
  <c r="L9" i="3"/>
  <c r="H9" i="3"/>
  <c r="G9" i="3"/>
  <c r="G24" i="3" s="1"/>
  <c r="BW8" i="3"/>
  <c r="BW23" i="3" s="1"/>
  <c r="BU8" i="3"/>
  <c r="BT8" i="3"/>
  <c r="BR8" i="3"/>
  <c r="BP8" i="3"/>
  <c r="BP23" i="3" s="1"/>
  <c r="BO8" i="3"/>
  <c r="BM8" i="3"/>
  <c r="BK8" i="3"/>
  <c r="BJ8" i="3"/>
  <c r="BJ23" i="3" s="1"/>
  <c r="BH8" i="3"/>
  <c r="BF8" i="3"/>
  <c r="BE8" i="3"/>
  <c r="BC8" i="3"/>
  <c r="BA8" i="3"/>
  <c r="AZ8" i="3"/>
  <c r="AX8" i="3"/>
  <c r="AV8" i="3"/>
  <c r="AV23" i="3" s="1"/>
  <c r="AU8" i="3"/>
  <c r="AS8" i="3"/>
  <c r="AP8" i="3"/>
  <c r="AN8" i="3"/>
  <c r="AL8" i="3"/>
  <c r="AK8" i="3"/>
  <c r="AI8" i="3"/>
  <c r="AG8" i="3"/>
  <c r="AF8" i="3"/>
  <c r="AD8" i="3"/>
  <c r="AB8" i="3"/>
  <c r="AA8" i="3"/>
  <c r="AA23" i="3" s="1"/>
  <c r="Y8" i="3"/>
  <c r="W8" i="3"/>
  <c r="V8" i="3"/>
  <c r="T8" i="3"/>
  <c r="R8" i="3"/>
  <c r="Q8" i="3"/>
  <c r="O8" i="3"/>
  <c r="M8" i="3"/>
  <c r="M23" i="3" s="1"/>
  <c r="L8" i="3"/>
  <c r="L23" i="3" s="1"/>
  <c r="H8" i="3"/>
  <c r="G8" i="3"/>
  <c r="BW7" i="3"/>
  <c r="BW22" i="3" s="1"/>
  <c r="BU7" i="3"/>
  <c r="BT7" i="3"/>
  <c r="BR7" i="3"/>
  <c r="BP7" i="3"/>
  <c r="BO7" i="3"/>
  <c r="BM7" i="3"/>
  <c r="BK7" i="3"/>
  <c r="BJ7" i="3"/>
  <c r="BJ22" i="3" s="1"/>
  <c r="BH7" i="3"/>
  <c r="BF7" i="3"/>
  <c r="BE7" i="3"/>
  <c r="BC7" i="3"/>
  <c r="BA7" i="3"/>
  <c r="AZ7" i="3"/>
  <c r="AX7" i="3"/>
  <c r="AV7" i="3"/>
  <c r="AU7" i="3"/>
  <c r="AS7" i="3"/>
  <c r="AP7" i="3"/>
  <c r="AN7" i="3"/>
  <c r="AL7" i="3"/>
  <c r="AK7" i="3"/>
  <c r="AI7" i="3"/>
  <c r="AG7" i="3"/>
  <c r="AF7" i="3"/>
  <c r="AD7" i="3"/>
  <c r="AB7" i="3"/>
  <c r="AA7" i="3"/>
  <c r="Y7" i="3"/>
  <c r="W7" i="3"/>
  <c r="V7" i="3"/>
  <c r="T7" i="3"/>
  <c r="R7" i="3"/>
  <c r="Q7" i="3"/>
  <c r="O7" i="3"/>
  <c r="M7" i="3"/>
  <c r="M22" i="3" s="1"/>
  <c r="L7" i="3"/>
  <c r="H7" i="3"/>
  <c r="G7" i="3"/>
  <c r="BW6" i="3"/>
  <c r="BW21" i="3" s="1"/>
  <c r="BU6" i="3"/>
  <c r="BT6" i="3"/>
  <c r="BR6" i="3"/>
  <c r="BP6" i="3"/>
  <c r="BO6" i="3"/>
  <c r="BO21" i="3" s="1"/>
  <c r="BM6" i="3"/>
  <c r="BK6" i="3"/>
  <c r="BJ6" i="3"/>
  <c r="BH6" i="3"/>
  <c r="BF6" i="3"/>
  <c r="BE6" i="3"/>
  <c r="BC6" i="3"/>
  <c r="BA6" i="3"/>
  <c r="AZ6" i="3"/>
  <c r="AX6" i="3"/>
  <c r="AV6" i="3"/>
  <c r="AU6" i="3"/>
  <c r="AU21" i="3" s="1"/>
  <c r="AS6" i="3"/>
  <c r="AP6" i="3"/>
  <c r="AN6" i="3"/>
  <c r="AL6" i="3"/>
  <c r="AK6" i="3"/>
  <c r="AI6" i="3"/>
  <c r="AG6" i="3"/>
  <c r="AF6" i="3"/>
  <c r="AF21" i="3" s="1"/>
  <c r="AD6" i="3"/>
  <c r="AB6" i="3"/>
  <c r="AA6" i="3"/>
  <c r="Y6" i="3"/>
  <c r="W6" i="3"/>
  <c r="V6" i="3"/>
  <c r="T6" i="3"/>
  <c r="R6" i="3"/>
  <c r="Q6" i="3"/>
  <c r="O6" i="3"/>
  <c r="M6" i="3"/>
  <c r="L6" i="3"/>
  <c r="L21" i="3" s="1"/>
  <c r="H6" i="3"/>
  <c r="G6" i="3"/>
  <c r="BW5" i="3"/>
  <c r="BW20" i="3" s="1"/>
  <c r="BU5" i="3"/>
  <c r="BT5" i="3"/>
  <c r="BR5" i="3"/>
  <c r="BP5" i="3"/>
  <c r="BO5" i="3"/>
  <c r="BM5" i="3"/>
  <c r="BK5" i="3"/>
  <c r="BJ5" i="3"/>
  <c r="BH5" i="3"/>
  <c r="BF5" i="3"/>
  <c r="BE5" i="3"/>
  <c r="BC5" i="3"/>
  <c r="BA5" i="3"/>
  <c r="AZ5" i="3"/>
  <c r="AX5" i="3"/>
  <c r="AV5" i="3"/>
  <c r="AU5" i="3"/>
  <c r="AS5" i="3"/>
  <c r="AP5" i="3"/>
  <c r="AN5" i="3"/>
  <c r="AL5" i="3"/>
  <c r="AK5" i="3"/>
  <c r="AI5" i="3"/>
  <c r="AG5" i="3"/>
  <c r="AF5" i="3"/>
  <c r="AD5" i="3"/>
  <c r="AB5" i="3"/>
  <c r="AA5" i="3"/>
  <c r="Y5" i="3"/>
  <c r="W5" i="3"/>
  <c r="V5" i="3"/>
  <c r="T5" i="3"/>
  <c r="R5" i="3"/>
  <c r="Q5" i="3"/>
  <c r="O5" i="3"/>
  <c r="M5" i="3"/>
  <c r="L5" i="3"/>
  <c r="H5" i="3"/>
  <c r="G5" i="3"/>
  <c r="BW4" i="3"/>
  <c r="BW19" i="3" s="1"/>
  <c r="BU4" i="3"/>
  <c r="BT4" i="3"/>
  <c r="BR4" i="3"/>
  <c r="BP4" i="3"/>
  <c r="BO4" i="3"/>
  <c r="BO19" i="3" s="1"/>
  <c r="BM4" i="3"/>
  <c r="BK4" i="3"/>
  <c r="BJ4" i="3"/>
  <c r="BH4" i="3"/>
  <c r="BF4" i="3"/>
  <c r="BE4" i="3"/>
  <c r="BC4" i="3"/>
  <c r="BA4" i="3"/>
  <c r="AZ4" i="3"/>
  <c r="AX4" i="3"/>
  <c r="AV4" i="3"/>
  <c r="AU4" i="3"/>
  <c r="AU19" i="3" s="1"/>
  <c r="AS4" i="3"/>
  <c r="AP4" i="3"/>
  <c r="AN4" i="3"/>
  <c r="AL4" i="3"/>
  <c r="AK4" i="3"/>
  <c r="AI4" i="3"/>
  <c r="AG4" i="3"/>
  <c r="AF4" i="3"/>
  <c r="AF19" i="3" s="1"/>
  <c r="AD4" i="3"/>
  <c r="AB4" i="3"/>
  <c r="AA4" i="3"/>
  <c r="Y4" i="3"/>
  <c r="W4" i="3"/>
  <c r="V4" i="3"/>
  <c r="T4" i="3"/>
  <c r="R4" i="3"/>
  <c r="Q4" i="3"/>
  <c r="O4" i="3"/>
  <c r="M4" i="3"/>
  <c r="L4" i="3"/>
  <c r="L19" i="3" s="1"/>
  <c r="H4" i="3"/>
  <c r="G4" i="3"/>
  <c r="J2" i="3"/>
  <c r="J4" i="3" s="1"/>
  <c r="J5" i="3" s="1"/>
  <c r="J6" i="3" s="1"/>
  <c r="J7" i="3" s="1"/>
  <c r="J8" i="3" s="1"/>
  <c r="J9" i="3" s="1"/>
  <c r="J10" i="3" s="1"/>
  <c r="J12" i="3" s="1"/>
  <c r="J13" i="3" s="1"/>
  <c r="J14" i="3" s="1"/>
  <c r="J15" i="3" s="1"/>
  <c r="J16" i="3" s="1"/>
  <c r="J19" i="3" s="1"/>
  <c r="J20" i="3" s="1"/>
  <c r="J21" i="3" s="1"/>
  <c r="J22" i="3" s="1"/>
  <c r="J23" i="3" s="1"/>
  <c r="J24" i="3" s="1"/>
  <c r="J25" i="3" s="1"/>
  <c r="J27" i="3" s="1"/>
  <c r="J28" i="3" s="1"/>
  <c r="J29" i="3" s="1"/>
  <c r="J30" i="3" s="1"/>
  <c r="J31" i="3" s="1"/>
  <c r="L1" i="3"/>
  <c r="Q1" i="3" s="1"/>
  <c r="V1" i="3" s="1"/>
  <c r="AA1" i="3" s="1"/>
  <c r="AF1" i="3" s="1"/>
  <c r="AK1" i="3" s="1"/>
  <c r="AP1" i="3" s="1"/>
  <c r="AU1" i="3" s="1"/>
  <c r="AZ1" i="3" s="1"/>
  <c r="BE1" i="3" s="1"/>
  <c r="BJ1" i="3" s="1"/>
  <c r="BO1" i="3" s="1"/>
  <c r="BP1" i="2"/>
  <c r="BK1" i="2"/>
  <c r="BF1" i="2"/>
  <c r="BA1" i="2"/>
  <c r="AV1" i="2"/>
  <c r="AQ1" i="2"/>
  <c r="AL1" i="2"/>
  <c r="AG1" i="2"/>
  <c r="AB1" i="2"/>
  <c r="W1" i="2"/>
  <c r="R1" i="2"/>
  <c r="M1" i="2"/>
  <c r="H1" i="2"/>
  <c r="C1" i="2"/>
  <c r="AU34" i="3" l="1"/>
  <c r="AV20" i="3"/>
  <c r="AV35" i="3" s="1"/>
  <c r="BP20" i="3"/>
  <c r="BP35" i="3" s="1"/>
  <c r="BP22" i="3"/>
  <c r="AF27" i="3"/>
  <c r="V29" i="3"/>
  <c r="BU20" i="3"/>
  <c r="BU35" i="3" s="1"/>
  <c r="BE27" i="3"/>
  <c r="BO29" i="3"/>
  <c r="M19" i="3"/>
  <c r="M34" i="3" s="1"/>
  <c r="AA19" i="3"/>
  <c r="AA34" i="3" s="1"/>
  <c r="BJ19" i="3"/>
  <c r="BJ34" i="3" s="1"/>
  <c r="AG20" i="3"/>
  <c r="AV22" i="3"/>
  <c r="L27" i="3"/>
  <c r="L42" i="3" s="1"/>
  <c r="BT27" i="3"/>
  <c r="BT42" i="3" s="1"/>
  <c r="G29" i="3"/>
  <c r="AP29" i="3"/>
  <c r="L31" i="3"/>
  <c r="L46" i="3" s="1"/>
  <c r="AF31" i="3"/>
  <c r="AZ31" i="3"/>
  <c r="G19" i="3"/>
  <c r="V19" i="3"/>
  <c r="AP19" i="3"/>
  <c r="BE19" i="3"/>
  <c r="BE34" i="3" s="1"/>
  <c r="G23" i="3"/>
  <c r="AB24" i="3"/>
  <c r="BK24" i="3"/>
  <c r="BT43" i="3"/>
  <c r="AA31" i="3"/>
  <c r="AU31" i="3"/>
  <c r="H24" i="3"/>
  <c r="H39" i="3" s="1"/>
  <c r="S29" i="3"/>
  <c r="AM29" i="3"/>
  <c r="G31" i="3"/>
  <c r="G46" i="3" s="1"/>
  <c r="BO22" i="3"/>
  <c r="S28" i="3"/>
  <c r="S43" i="3" s="1"/>
  <c r="BV1" i="2"/>
  <c r="AB19" i="3"/>
  <c r="AB34" i="3" s="1"/>
  <c r="BK19" i="3"/>
  <c r="AM28" i="3"/>
  <c r="G30" i="3"/>
  <c r="G45" i="3" s="1"/>
  <c r="W20" i="3"/>
  <c r="W35" i="3" s="1"/>
  <c r="AA22" i="3"/>
  <c r="BV30" i="3"/>
  <c r="BV45" i="3" s="1"/>
  <c r="H19" i="3"/>
  <c r="H34" i="3" s="1"/>
  <c r="H20" i="3"/>
  <c r="H35" i="3" s="1"/>
  <c r="L29" i="3"/>
  <c r="L44" i="3" s="1"/>
  <c r="AF29" i="3"/>
  <c r="BT29" i="3"/>
  <c r="BT44" i="3" s="1"/>
  <c r="Q30" i="3"/>
  <c r="Q45" i="3" s="1"/>
  <c r="AR30" i="3"/>
  <c r="BL30" i="3"/>
  <c r="BF20" i="3"/>
  <c r="BU22" i="3"/>
  <c r="BU37" i="3" s="1"/>
  <c r="AG22" i="3"/>
  <c r="BO23" i="3"/>
  <c r="AZ27" i="3"/>
  <c r="AH30" i="3"/>
  <c r="BP19" i="3"/>
  <c r="BP34" i="3" s="1"/>
  <c r="AB20" i="3"/>
  <c r="BK20" i="3"/>
  <c r="BO34" i="3"/>
  <c r="AA29" i="3"/>
  <c r="S30" i="3"/>
  <c r="AM30" i="3"/>
  <c r="AZ30" i="3"/>
  <c r="BT19" i="3"/>
  <c r="BE20" i="3"/>
  <c r="BT21" i="3"/>
  <c r="BT36" i="3" s="1"/>
  <c r="G22" i="3"/>
  <c r="G37" i="3" s="1"/>
  <c r="BE28" i="3"/>
  <c r="N32" i="6"/>
  <c r="G38" i="3"/>
  <c r="BH22" i="3"/>
  <c r="BH25" i="3" s="1"/>
  <c r="BH28" i="3" s="1"/>
  <c r="BH20" i="3"/>
  <c r="S44" i="3"/>
  <c r="AI20" i="3"/>
  <c r="AG35" i="3" s="1"/>
  <c r="AI22" i="3"/>
  <c r="AI25" i="3" s="1"/>
  <c r="AI28" i="3" s="1"/>
  <c r="AF43" i="3" s="1"/>
  <c r="BC20" i="3"/>
  <c r="BC22" i="3"/>
  <c r="BC25" i="3" s="1"/>
  <c r="BC28" i="3" s="1"/>
  <c r="BR23" i="3"/>
  <c r="BO38" i="3" s="1"/>
  <c r="BR21" i="3"/>
  <c r="BR24" i="3" s="1"/>
  <c r="BR27" i="3" s="1"/>
  <c r="BR30" i="3" s="1"/>
  <c r="G34" i="3"/>
  <c r="V34" i="3"/>
  <c r="AP34" i="3"/>
  <c r="BK34" i="3"/>
  <c r="AN20" i="3"/>
  <c r="AN22" i="3"/>
  <c r="AN25" i="3" s="1"/>
  <c r="AN28" i="3" s="1"/>
  <c r="AX23" i="3"/>
  <c r="AV38" i="3" s="1"/>
  <c r="AX21" i="3"/>
  <c r="AX24" i="3" s="1"/>
  <c r="AX27" i="3" s="1"/>
  <c r="AX30" i="3" s="1"/>
  <c r="L34" i="3"/>
  <c r="AF34" i="3"/>
  <c r="L36" i="3"/>
  <c r="L38" i="3"/>
  <c r="AD22" i="3"/>
  <c r="AD25" i="3" s="1"/>
  <c r="AD28" i="3" s="1"/>
  <c r="AD20" i="3"/>
  <c r="BT34" i="3"/>
  <c r="BE35" i="3"/>
  <c r="Y22" i="3"/>
  <c r="Y25" i="3" s="1"/>
  <c r="W40" i="3" s="1"/>
  <c r="Y20" i="3"/>
  <c r="AS22" i="3"/>
  <c r="AS25" i="3" s="1"/>
  <c r="AS28" i="3" s="1"/>
  <c r="AS20" i="3"/>
  <c r="BM22" i="3"/>
  <c r="BM25" i="3" s="1"/>
  <c r="BM28" i="3" s="1"/>
  <c r="BM20" i="3"/>
  <c r="M39" i="3"/>
  <c r="BT20" i="3"/>
  <c r="BT35" i="3" s="1"/>
  <c r="R21" i="3"/>
  <c r="R36" i="3" s="1"/>
  <c r="AL21" i="3"/>
  <c r="M37" i="3"/>
  <c r="AA37" i="3"/>
  <c r="AG37" i="3"/>
  <c r="BJ24" i="3"/>
  <c r="BE25" i="3"/>
  <c r="AP25" i="3"/>
  <c r="AP40" i="3" s="1"/>
  <c r="V25" i="3"/>
  <c r="BJ25" i="3"/>
  <c r="AA25" i="3"/>
  <c r="AA40" i="3" s="1"/>
  <c r="M25" i="3"/>
  <c r="M40" i="3" s="1"/>
  <c r="G25" i="3"/>
  <c r="G40" i="3" s="1"/>
  <c r="BO25" i="3"/>
  <c r="AU25" i="3"/>
  <c r="AF25" i="3"/>
  <c r="AF40" i="3" s="1"/>
  <c r="L25" i="3"/>
  <c r="L40" i="3" s="1"/>
  <c r="AZ25" i="3"/>
  <c r="AZ40" i="3" s="1"/>
  <c r="G43" i="3"/>
  <c r="Q19" i="3"/>
  <c r="Q34" i="3" s="1"/>
  <c r="W19" i="3"/>
  <c r="W34" i="3" s="1"/>
  <c r="AK19" i="3"/>
  <c r="AK34" i="3" s="1"/>
  <c r="AZ19" i="3"/>
  <c r="AZ34" i="3" s="1"/>
  <c r="BF19" i="3"/>
  <c r="BF34" i="3" s="1"/>
  <c r="L20" i="3"/>
  <c r="L35" i="3" s="1"/>
  <c r="R20" i="3"/>
  <c r="R35" i="3" s="1"/>
  <c r="AF20" i="3"/>
  <c r="AL20" i="3"/>
  <c r="AL35" i="3" s="1"/>
  <c r="AU20" i="3"/>
  <c r="AU35" i="3" s="1"/>
  <c r="BA20" i="3"/>
  <c r="BA35" i="3" s="1"/>
  <c r="BO20" i="3"/>
  <c r="BO35" i="3" s="1"/>
  <c r="G21" i="3"/>
  <c r="G36" i="3" s="1"/>
  <c r="M21" i="3"/>
  <c r="M36" i="3" s="1"/>
  <c r="AA21" i="3"/>
  <c r="AG21" i="3"/>
  <c r="AV21" i="3"/>
  <c r="AV36" i="3" s="1"/>
  <c r="BJ21" i="3"/>
  <c r="BP21" i="3"/>
  <c r="H22" i="3"/>
  <c r="H37" i="3" s="1"/>
  <c r="V22" i="3"/>
  <c r="AB22" i="3"/>
  <c r="AP22" i="3"/>
  <c r="AX22" i="3"/>
  <c r="AX25" i="3" s="1"/>
  <c r="AX28" i="3" s="1"/>
  <c r="BE22" i="3"/>
  <c r="BK22" i="3"/>
  <c r="BR22" i="3"/>
  <c r="BR25" i="3" s="1"/>
  <c r="BR28" i="3" s="1"/>
  <c r="BU23" i="3"/>
  <c r="BU38" i="3" s="1"/>
  <c r="BA23" i="3"/>
  <c r="AL23" i="3"/>
  <c r="BF23" i="3"/>
  <c r="W23" i="3"/>
  <c r="BK23" i="3"/>
  <c r="AB23" i="3"/>
  <c r="H23" i="3"/>
  <c r="H38" i="3" s="1"/>
  <c r="R23" i="3"/>
  <c r="R38" i="3" s="1"/>
  <c r="AG23" i="3"/>
  <c r="BP24" i="3"/>
  <c r="BK25" i="3"/>
  <c r="BK40" i="3" s="1"/>
  <c r="BL27" i="3"/>
  <c r="AR27" i="3"/>
  <c r="X27" i="3"/>
  <c r="BQ27" i="3"/>
  <c r="AW27" i="3"/>
  <c r="AW42" i="3" s="1"/>
  <c r="AC27" i="3"/>
  <c r="I27" i="3"/>
  <c r="I42" i="3" s="1"/>
  <c r="BV27" i="3"/>
  <c r="BV42" i="3" s="1"/>
  <c r="BB27" i="3"/>
  <c r="AH27" i="3"/>
  <c r="N27" i="3"/>
  <c r="N42" i="3" s="1"/>
  <c r="BG27" i="3"/>
  <c r="BL28" i="3"/>
  <c r="AR28" i="3"/>
  <c r="X28" i="3"/>
  <c r="BQ28" i="3"/>
  <c r="BQ43" i="3" s="1"/>
  <c r="AW28" i="3"/>
  <c r="AW43" i="3" s="1"/>
  <c r="AC28" i="3"/>
  <c r="I28" i="3"/>
  <c r="I43" i="3" s="1"/>
  <c r="BV28" i="3"/>
  <c r="BV43" i="3" s="1"/>
  <c r="BB28" i="3"/>
  <c r="AH28" i="3"/>
  <c r="N28" i="3"/>
  <c r="N43" i="3" s="1"/>
  <c r="BG28" i="3"/>
  <c r="BQ29" i="3"/>
  <c r="AW29" i="3"/>
  <c r="AR29" i="3"/>
  <c r="X29" i="3"/>
  <c r="BG29" i="3"/>
  <c r="AC29" i="3"/>
  <c r="I29" i="3"/>
  <c r="I44" i="3" s="1"/>
  <c r="BV29" i="3"/>
  <c r="BV44" i="3" s="1"/>
  <c r="AH29" i="3"/>
  <c r="N29" i="3"/>
  <c r="N44" i="3" s="1"/>
  <c r="BL29" i="3"/>
  <c r="G39" i="3"/>
  <c r="S45" i="3"/>
  <c r="Q20" i="3"/>
  <c r="Q35" i="3" s="1"/>
  <c r="BA21" i="3"/>
  <c r="BU21" i="3"/>
  <c r="BU36" i="3" s="1"/>
  <c r="H40" i="3"/>
  <c r="R19" i="3"/>
  <c r="R34" i="3" s="1"/>
  <c r="AL19" i="3"/>
  <c r="AL34" i="3" s="1"/>
  <c r="BA19" i="3"/>
  <c r="BA34" i="3" s="1"/>
  <c r="BU19" i="3"/>
  <c r="BU34" i="3" s="1"/>
  <c r="G20" i="3"/>
  <c r="G35" i="3" s="1"/>
  <c r="M20" i="3"/>
  <c r="M35" i="3" s="1"/>
  <c r="AA20" i="3"/>
  <c r="BJ20" i="3"/>
  <c r="H21" i="3"/>
  <c r="H36" i="3" s="1"/>
  <c r="V21" i="3"/>
  <c r="AB21" i="3"/>
  <c r="AP21" i="3"/>
  <c r="BE21" i="3"/>
  <c r="BK21" i="3"/>
  <c r="Q22" i="3"/>
  <c r="Q37" i="3" s="1"/>
  <c r="W22" i="3"/>
  <c r="AK22" i="3"/>
  <c r="AZ22" i="3"/>
  <c r="AZ37" i="3" s="1"/>
  <c r="BF22" i="3"/>
  <c r="BT22" i="3"/>
  <c r="BT37" i="3" s="1"/>
  <c r="AK25" i="3"/>
  <c r="BG31" i="3"/>
  <c r="AR31" i="3"/>
  <c r="X31" i="3"/>
  <c r="BV31" i="3"/>
  <c r="BV46" i="3" s="1"/>
  <c r="BL31" i="3"/>
  <c r="AW31" i="3"/>
  <c r="AC31" i="3"/>
  <c r="I31" i="3"/>
  <c r="I46" i="3" s="1"/>
  <c r="BB31" i="3"/>
  <c r="N31" i="3"/>
  <c r="N46" i="3" s="1"/>
  <c r="AM31" i="3"/>
  <c r="BQ31" i="3"/>
  <c r="AH31" i="3"/>
  <c r="AK20" i="3"/>
  <c r="AK35" i="3" s="1"/>
  <c r="AZ20" i="3"/>
  <c r="AZ35" i="3" s="1"/>
  <c r="M38" i="3"/>
  <c r="G44" i="3"/>
  <c r="AG19" i="3"/>
  <c r="AG34" i="3" s="1"/>
  <c r="AV19" i="3"/>
  <c r="AV34" i="3" s="1"/>
  <c r="V20" i="3"/>
  <c r="V35" i="3" s="1"/>
  <c r="AP20" i="3"/>
  <c r="Q21" i="3"/>
  <c r="Q36" i="3" s="1"/>
  <c r="W21" i="3"/>
  <c r="AK21" i="3"/>
  <c r="AZ21" i="3"/>
  <c r="L22" i="3"/>
  <c r="L37" i="3" s="1"/>
  <c r="R22" i="3"/>
  <c r="R37" i="3" s="1"/>
  <c r="AF22" i="3"/>
  <c r="AF37" i="3" s="1"/>
  <c r="AL22" i="3"/>
  <c r="AU22" i="3"/>
  <c r="BA22" i="3"/>
  <c r="BA37" i="3" s="1"/>
  <c r="Q25" i="3"/>
  <c r="Q40" i="3" s="1"/>
  <c r="BT25" i="3"/>
  <c r="BT40" i="3" s="1"/>
  <c r="BT30" i="3"/>
  <c r="BT45" i="3" s="1"/>
  <c r="S31" i="3"/>
  <c r="S46" i="3" s="1"/>
  <c r="V23" i="3"/>
  <c r="AP23" i="3"/>
  <c r="BE23" i="3"/>
  <c r="Q24" i="3"/>
  <c r="Q39" i="3" s="1"/>
  <c r="W24" i="3"/>
  <c r="AK24" i="3"/>
  <c r="AZ24" i="3"/>
  <c r="BF24" i="3"/>
  <c r="BT24" i="3"/>
  <c r="BT39" i="3" s="1"/>
  <c r="R25" i="3"/>
  <c r="R40" i="3" s="1"/>
  <c r="AL25" i="3"/>
  <c r="BA25" i="3"/>
  <c r="BA40" i="3" s="1"/>
  <c r="BU25" i="3"/>
  <c r="BU40" i="3" s="1"/>
  <c r="G27" i="3"/>
  <c r="G42" i="3" s="1"/>
  <c r="AA27" i="3"/>
  <c r="AU27" i="3"/>
  <c r="AU42" i="3" s="1"/>
  <c r="BO27" i="3"/>
  <c r="BO42" i="3" s="1"/>
  <c r="AA28" i="3"/>
  <c r="AU28" i="3"/>
  <c r="BO28" i="3"/>
  <c r="AU29" i="3"/>
  <c r="BE29" i="3"/>
  <c r="AA30" i="3"/>
  <c r="AK30" i="3"/>
  <c r="Q23" i="3"/>
  <c r="Q38" i="3" s="1"/>
  <c r="AK23" i="3"/>
  <c r="AZ23" i="3"/>
  <c r="BT23" i="3"/>
  <c r="BT38" i="3" s="1"/>
  <c r="L24" i="3"/>
  <c r="L39" i="3" s="1"/>
  <c r="R24" i="3"/>
  <c r="R39" i="3" s="1"/>
  <c r="AF24" i="3"/>
  <c r="AL24" i="3"/>
  <c r="AU24" i="3"/>
  <c r="AU39" i="3" s="1"/>
  <c r="BA24" i="3"/>
  <c r="BO24" i="3"/>
  <c r="BU24" i="3"/>
  <c r="BU39" i="3" s="1"/>
  <c r="AG25" i="3"/>
  <c r="AG40" i="3" s="1"/>
  <c r="AV25" i="3"/>
  <c r="BP25" i="3"/>
  <c r="V27" i="3"/>
  <c r="AP27" i="3"/>
  <c r="BJ27" i="3"/>
  <c r="AP28" i="3"/>
  <c r="BJ28" i="3"/>
  <c r="BJ43" i="3" s="1"/>
  <c r="BJ30" i="3"/>
  <c r="AP30" i="3"/>
  <c r="V30" i="3"/>
  <c r="L30" i="3"/>
  <c r="L45" i="3" s="1"/>
  <c r="AU30" i="3"/>
  <c r="AU45" i="3" s="1"/>
  <c r="BE30" i="3"/>
  <c r="AF23" i="3"/>
  <c r="AU23" i="3"/>
  <c r="AA24" i="3"/>
  <c r="AG24" i="3"/>
  <c r="AV24" i="3"/>
  <c r="AV39" i="3" s="1"/>
  <c r="AB25" i="3"/>
  <c r="AB40" i="3" s="1"/>
  <c r="Q27" i="3"/>
  <c r="Q42" i="3" s="1"/>
  <c r="AK27" i="3"/>
  <c r="Q28" i="3"/>
  <c r="Q43" i="3" s="1"/>
  <c r="AK28" i="3"/>
  <c r="BJ29" i="3"/>
  <c r="Q29" i="3"/>
  <c r="Q44" i="3" s="1"/>
  <c r="AK29" i="3"/>
  <c r="AZ29" i="3"/>
  <c r="BQ30" i="3"/>
  <c r="BQ45" i="3" s="1"/>
  <c r="AW30" i="3"/>
  <c r="AW45" i="3" s="1"/>
  <c r="AC30" i="3"/>
  <c r="I30" i="3"/>
  <c r="I45" i="3" s="1"/>
  <c r="N30" i="3"/>
  <c r="N45" i="3" s="1"/>
  <c r="X30" i="3"/>
  <c r="AF30" i="3"/>
  <c r="BG30" i="3"/>
  <c r="BO30" i="3"/>
  <c r="BO45" i="3" s="1"/>
  <c r="BT31" i="3"/>
  <c r="BT46" i="3" s="1"/>
  <c r="BJ31" i="3"/>
  <c r="V31" i="3"/>
  <c r="AP31" i="3"/>
  <c r="Q31" i="3"/>
  <c r="Q46" i="3" s="1"/>
  <c r="AK31" i="3"/>
  <c r="BE31" i="3"/>
  <c r="BO31" i="3"/>
  <c r="AP35" i="3" l="1"/>
  <c r="W37" i="3"/>
  <c r="V37" i="3"/>
  <c r="BJ37" i="3"/>
  <c r="BJ40" i="3"/>
  <c r="BB43" i="3"/>
  <c r="BL43" i="3"/>
  <c r="AU38" i="3"/>
  <c r="BG43" i="3"/>
  <c r="BQ42" i="3"/>
  <c r="BP36" i="3"/>
  <c r="AP43" i="3"/>
  <c r="BO39" i="3"/>
  <c r="AU43" i="3"/>
  <c r="AU37" i="3"/>
  <c r="AB37" i="3"/>
  <c r="AP37" i="3"/>
  <c r="AV40" i="3"/>
  <c r="AA43" i="3"/>
  <c r="AL37" i="3"/>
  <c r="BJ35" i="3"/>
  <c r="AH43" i="3"/>
  <c r="AC43" i="3"/>
  <c r="AR43" i="3"/>
  <c r="BO36" i="3"/>
  <c r="BF35" i="3"/>
  <c r="BG46" i="3"/>
  <c r="BR31" i="3"/>
  <c r="BR29" i="3"/>
  <c r="BO44" i="3" s="1"/>
  <c r="BO40" i="3"/>
  <c r="AN31" i="3"/>
  <c r="AM46" i="3" s="1"/>
  <c r="AN29" i="3"/>
  <c r="AM44" i="3" s="1"/>
  <c r="AI23" i="3"/>
  <c r="AF38" i="3" s="1"/>
  <c r="AI21" i="3"/>
  <c r="BH29" i="3"/>
  <c r="BE44" i="3" s="1"/>
  <c r="BH31" i="3"/>
  <c r="BO46" i="3"/>
  <c r="BQ46" i="3"/>
  <c r="AK40" i="3"/>
  <c r="AK37" i="3"/>
  <c r="BP39" i="3"/>
  <c r="BK37" i="3"/>
  <c r="BE43" i="3"/>
  <c r="V40" i="3"/>
  <c r="AV37" i="3"/>
  <c r="AS29" i="3"/>
  <c r="AP44" i="3" s="1"/>
  <c r="AS31" i="3"/>
  <c r="AP46" i="3" s="1"/>
  <c r="BP38" i="3"/>
  <c r="AD31" i="3"/>
  <c r="AA46" i="3" s="1"/>
  <c r="AD29" i="3"/>
  <c r="AA44" i="3" s="1"/>
  <c r="AU36" i="3"/>
  <c r="AN23" i="3"/>
  <c r="AL38" i="3" s="1"/>
  <c r="AN21" i="3"/>
  <c r="AN24" i="3" s="1"/>
  <c r="AN27" i="3" s="1"/>
  <c r="BC31" i="3"/>
  <c r="AZ46" i="3" s="1"/>
  <c r="BC29" i="3"/>
  <c r="BB44" i="3" s="1"/>
  <c r="AZ43" i="3"/>
  <c r="AS23" i="3"/>
  <c r="AP38" i="3" s="1"/>
  <c r="AS21" i="3"/>
  <c r="AS24" i="3" s="1"/>
  <c r="AD23" i="3"/>
  <c r="AA38" i="3" s="1"/>
  <c r="AD21" i="3"/>
  <c r="AD24" i="3" s="1"/>
  <c r="BE46" i="3"/>
  <c r="AK43" i="3"/>
  <c r="BO43" i="3"/>
  <c r="AC46" i="3"/>
  <c r="AP36" i="3"/>
  <c r="AG38" i="3"/>
  <c r="BE37" i="3"/>
  <c r="BM23" i="3"/>
  <c r="BJ38" i="3" s="1"/>
  <c r="BM21" i="3"/>
  <c r="BM24" i="3" s="1"/>
  <c r="Y23" i="3"/>
  <c r="W38" i="3" s="1"/>
  <c r="Y21" i="3"/>
  <c r="Y24" i="3" s="1"/>
  <c r="BK35" i="3"/>
  <c r="BC21" i="3"/>
  <c r="BC24" i="3" s="1"/>
  <c r="BC27" i="3" s="1"/>
  <c r="BC23" i="3"/>
  <c r="AZ38" i="3" s="1"/>
  <c r="BF40" i="3"/>
  <c r="BO37" i="3"/>
  <c r="AB35" i="3"/>
  <c r="AK42" i="3"/>
  <c r="AK44" i="3"/>
  <c r="BP40" i="3"/>
  <c r="AL40" i="3"/>
  <c r="BF37" i="3"/>
  <c r="AA35" i="3"/>
  <c r="BQ44" i="3"/>
  <c r="BB42" i="3"/>
  <c r="AX31" i="3"/>
  <c r="AU46" i="3" s="1"/>
  <c r="AX29" i="3"/>
  <c r="AU44" i="3" s="1"/>
  <c r="AG36" i="3"/>
  <c r="AF35" i="3"/>
  <c r="AU40" i="3"/>
  <c r="BE40" i="3"/>
  <c r="BP37" i="3"/>
  <c r="BM31" i="3"/>
  <c r="BJ46" i="3" s="1"/>
  <c r="BM29" i="3"/>
  <c r="BJ44" i="3" s="1"/>
  <c r="Y29" i="3"/>
  <c r="V44" i="3" s="1"/>
  <c r="Y28" i="3"/>
  <c r="X43" i="3" s="1"/>
  <c r="AM43" i="3"/>
  <c r="AI31" i="3"/>
  <c r="AF46" i="3" s="1"/>
  <c r="AI29" i="3"/>
  <c r="AF44" i="3" s="1"/>
  <c r="BH23" i="3"/>
  <c r="BF38" i="3" s="1"/>
  <c r="BH21" i="3"/>
  <c r="BE36" i="3" s="1"/>
  <c r="AK46" i="3" l="1"/>
  <c r="BA38" i="3"/>
  <c r="V38" i="3"/>
  <c r="AK39" i="3"/>
  <c r="BK36" i="3"/>
  <c r="AB36" i="3"/>
  <c r="AK38" i="3"/>
  <c r="AL36" i="3"/>
  <c r="AC44" i="3"/>
  <c r="AL39" i="3"/>
  <c r="AR46" i="3"/>
  <c r="BL46" i="3"/>
  <c r="BE38" i="3"/>
  <c r="AW44" i="3"/>
  <c r="BB46" i="3"/>
  <c r="AH46" i="3"/>
  <c r="Y27" i="3"/>
  <c r="V39" i="3"/>
  <c r="BH24" i="3"/>
  <c r="BF36" i="3"/>
  <c r="BG44" i="3"/>
  <c r="AZ39" i="3"/>
  <c r="V36" i="3"/>
  <c r="AZ44" i="3"/>
  <c r="AD27" i="3"/>
  <c r="AB39" i="3"/>
  <c r="AA36" i="3"/>
  <c r="AB38" i="3"/>
  <c r="AR44" i="3"/>
  <c r="W39" i="3"/>
  <c r="AA39" i="3"/>
  <c r="Y31" i="3"/>
  <c r="V43" i="3"/>
  <c r="AH44" i="3"/>
  <c r="BC30" i="3"/>
  <c r="AZ42" i="3"/>
  <c r="BM27" i="3"/>
  <c r="BK39" i="3"/>
  <c r="W36" i="3"/>
  <c r="X44" i="3"/>
  <c r="AN30" i="3"/>
  <c r="AM42" i="3"/>
  <c r="BJ36" i="3"/>
  <c r="BL44" i="3"/>
  <c r="BA39" i="3"/>
  <c r="AW46" i="3"/>
  <c r="BK38" i="3"/>
  <c r="AS27" i="3"/>
  <c r="AP39" i="3"/>
  <c r="BA36" i="3"/>
  <c r="BJ39" i="3"/>
  <c r="AK36" i="3"/>
  <c r="AI24" i="3"/>
  <c r="AF36" i="3"/>
  <c r="AZ36" i="3"/>
  <c r="AS30" i="3" l="1"/>
  <c r="AP42" i="3"/>
  <c r="AR42" i="3"/>
  <c r="BB45" i="3"/>
  <c r="AZ45" i="3"/>
  <c r="BH27" i="3"/>
  <c r="BE39" i="3"/>
  <c r="BF39" i="3"/>
  <c r="AI27" i="3"/>
  <c r="AG39" i="3"/>
  <c r="AF39" i="3"/>
  <c r="AM45" i="3"/>
  <c r="AK45" i="3"/>
  <c r="BM30" i="3"/>
  <c r="BL42" i="3"/>
  <c r="BJ42" i="3"/>
  <c r="AD30" i="3"/>
  <c r="AA42" i="3"/>
  <c r="AC42" i="3"/>
  <c r="Y30" i="3"/>
  <c r="X42" i="3"/>
  <c r="V42" i="3"/>
  <c r="V46" i="3"/>
  <c r="X46" i="3"/>
  <c r="BH30" i="3" l="1"/>
  <c r="BE42" i="3"/>
  <c r="BG42" i="3"/>
  <c r="X45" i="3"/>
  <c r="V45" i="3"/>
  <c r="BL45" i="3"/>
  <c r="BJ45" i="3"/>
  <c r="AC45" i="3"/>
  <c r="AA45" i="3"/>
  <c r="AI30" i="3"/>
  <c r="AF42" i="3"/>
  <c r="AH42" i="3"/>
  <c r="AR45" i="3"/>
  <c r="AP45" i="3"/>
  <c r="AH45" i="3" l="1"/>
  <c r="AF45" i="3"/>
  <c r="BE45" i="3"/>
  <c r="BG4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tc={FAEA521F-572D-4876-9590-1FC9647E35F2}</author>
    <author>tc={38188E13-FB21-41D7-8732-0A2006933D13}</author>
  </authors>
  <commentList>
    <comment ref="AV4" authorId="0" shapeId="0" xr:uid="{FAEA521F-572D-4876-9590-1FC9647E35F2}">
      <text>
        <t xml:space="preserve">[Threaded comment]
Your version of Excel allows you to read this threaded comment; however, any edits to it will get removed if the file is opened in a newer version of Excel. Learn more: https://go.microsoft.com/fwlink/?linkid=870924
Comment:
    N Not right for thsi?
</t>
      </text>
    </comment>
    <comment ref="BI11" authorId="1" shapeId="0" xr:uid="{38188E13-FB21-41D7-8732-0A2006933D13}">
      <text>
        <t>[Threaded comment]
Your version of Excel allows you to read this threaded comment; however, any edits to it will get removed if the file is opened in a newer version of Excel. Learn more: https://go.microsoft.com/fwlink/?linkid=870924
Comment:
    Needs formulae added</t>
      </text>
    </comment>
  </commentList>
</comments>
</file>

<file path=xl/sharedStrings.xml><?xml version="1.0" encoding="utf-8"?>
<sst xmlns="http://schemas.openxmlformats.org/spreadsheetml/2006/main" count="873" uniqueCount="267">
  <si>
    <t>First Author and Year</t>
  </si>
  <si>
    <t>Sample Number</t>
  </si>
  <si>
    <t>Sample Namein "other extracted data"</t>
  </si>
  <si>
    <t>Full Citation</t>
  </si>
  <si>
    <t>Country</t>
  </si>
  <si>
    <t>Language</t>
  </si>
  <si>
    <t>Version</t>
  </si>
  <si>
    <t>Sample(s)</t>
  </si>
  <si>
    <t>Sample size(s)</t>
  </si>
  <si>
    <t>Mean Age (SD)</t>
  </si>
  <si>
    <t>Gender</t>
  </si>
  <si>
    <t>Total</t>
  </si>
  <si>
    <t>% Women</t>
  </si>
  <si>
    <t>EFA Models tested</t>
  </si>
  <si>
    <t>CFA Models tested</t>
  </si>
  <si>
    <t>Undimensional</t>
  </si>
  <si>
    <t>Standard Two factor correlated</t>
  </si>
  <si>
    <t>Standard Bifactor</t>
  </si>
  <si>
    <t>Other</t>
  </si>
  <si>
    <t>Measurement Invariance</t>
  </si>
  <si>
    <t>Overall Conclusions (pasted from abstract in almost all cases)</t>
  </si>
  <si>
    <t>Bifactor model best fit</t>
  </si>
  <si>
    <t>Bifactor group factor reliable</t>
  </si>
  <si>
    <t>Clear statement about using it as unidimensional/univocal</t>
  </si>
  <si>
    <t>Bottesi 2019</t>
  </si>
  <si>
    <r>
      <t>Bottesi, G., Noventa, S., Freeston, M. H., &amp; Ghisi, M. (2019). Seeking certainty about Intolerance of Uncertainty: Addressing old and new issues through the Intolerance of Uncertainty Scale-Revised. </t>
    </r>
    <r>
      <rPr>
        <i/>
        <sz val="10"/>
        <color rgb="FF222222"/>
        <rFont val="Arial"/>
        <family val="2"/>
        <charset val="1"/>
      </rPr>
      <t>PloS one</t>
    </r>
    <r>
      <rPr>
        <sz val="10"/>
        <color rgb="FF222222"/>
        <rFont val="Arial"/>
        <family val="2"/>
        <charset val="1"/>
      </rPr>
      <t>, </t>
    </r>
    <r>
      <rPr>
        <i/>
        <sz val="10"/>
        <color rgb="FF222222"/>
        <rFont val="Arial"/>
        <family val="2"/>
        <charset val="1"/>
      </rPr>
      <t>14</t>
    </r>
    <r>
      <rPr>
        <sz val="10"/>
        <color rgb="FF222222"/>
        <rFont val="Arial"/>
        <family val="2"/>
        <charset val="1"/>
      </rPr>
      <t>(2), e0211929.</t>
    </r>
  </si>
  <si>
    <t>Italy</t>
  </si>
  <si>
    <t>Italian</t>
  </si>
  <si>
    <t>IUS-R (Italian)</t>
  </si>
  <si>
    <t>Community</t>
  </si>
  <si>
    <t>35.86 (14.01)</t>
  </si>
  <si>
    <t>352 Men, 459 women</t>
  </si>
  <si>
    <t>No</t>
  </si>
  <si>
    <t>Unidimensional, Correlated Two Factor, Standard Bifactor, Standard Bifactor with correlated tratits</t>
  </si>
  <si>
    <t>Yes</t>
  </si>
  <si>
    <t>Standard Bifactor with correlated tratit</t>
  </si>
  <si>
    <t>Gender and Age</t>
  </si>
  <si>
    <t>The application of a bifactor model shows that the Italian Intolerance of Uncertainty Scale-Revised possesses a robust general factor, thus supporting the use of the unitweighted total score of the questionnaire as a measure of the construct. Furthermore, measurement invariance across gender, age, and over time is supported. Finally, the Italian Intolerance of Uncertainty Scale-Revised appears to possess adequate reliability and validity. These findings support the unidimensionality of the measure, a conceptually reasonable result in line with the trans-diagnostic nature of Intolerance of Uncertainty. In addition, this study and comparison with published factor structures of the Intolerance of Uncertainty Scale-12 and of the Intolerance of Uncertainty Scale-Revised identify some issues for the internal structure of the measure. In particular, concern is expressed for the Prospective IU subscale. In light of the promising psychometric properties, the use of the Italian Intolerance of Uncertainty Scale-Revised as a univocal measure is encouraged in both research and clinical practice.</t>
  </si>
  <si>
    <t>Prospective IU shown to be problematic and a factor which is not robust. Conclusion states that neither group factors achieve acceptable reliability.</t>
  </si>
  <si>
    <t>The italian Intolerance of uncertainty scale-revised possesses a robust general factor, supporting the use of the unit-weighted total score of the questionnaire as a measure of the construct.</t>
  </si>
  <si>
    <t>Bottesi, G., Noventa, S., Freeston, M. H., &amp; Ghisi, M. (2019). Seeking certainty about Intolerance of Uncertainty: Addressing old and new issues through the Intolerance of Uncertainty Scale-Revised. PloS one, 14(2), e0211929.</t>
  </si>
  <si>
    <t>Undergraduate</t>
  </si>
  <si>
    <t>21.16 (2.64)</t>
  </si>
  <si>
    <t>46 men, 116 women</t>
  </si>
  <si>
    <t>MI time (1 month test-retest), MI between Community and Undergad samples</t>
  </si>
  <si>
    <t>Cornacchio 2018</t>
  </si>
  <si>
    <t>Cornacchio, D., Sanchez, A. L., Coxe, S., Roy, A., Pincus, D. B., Read, K. L., ... &amp; Comer, J. S. (2018). Factor structure of the intolerance of uncertainty scale for children. Journal of anxiety disorders, 53, 100-107.</t>
  </si>
  <si>
    <t xml:space="preserve">USA </t>
  </si>
  <si>
    <t>English</t>
  </si>
  <si>
    <t>IUSC</t>
  </si>
  <si>
    <t>Anxious and community youth</t>
  </si>
  <si>
    <t>12.47 (2.4)</t>
  </si>
  <si>
    <t>180 women, 188 men</t>
  </si>
  <si>
    <t>Unidimensional, correlated two factor, bifactor</t>
  </si>
  <si>
    <t>None</t>
  </si>
  <si>
    <t>Findings demonstrated multiple acceptable factor structures: a correlated factors 2-factor structure and a bifactor model where a general factor underlies all items. While the bifactor model provides better fit and reliability to the data, multivariate analyses indicated that the 2-factor structure distinguishes apprehensive anxiety regarding future events (prospective IU) from present-focused inhibition of behavior due to uncertainty and negative reactions to the presence of uncertainty (inhibitory IU); a total IU score predicted all anxiety domains for self- and parent-reports except for parent-report harm avoidance.</t>
  </si>
  <si>
    <t>Confirmatory factor analysis examining the IUS-12 as a unidimensional construct showed poor fit in the parent-report data, providing some evidence that scoring with one total score may not be ideal (particularly in this application setting)</t>
  </si>
  <si>
    <t>USA</t>
  </si>
  <si>
    <t>IUSC (Parent report)</t>
  </si>
  <si>
    <t>Parents of youth (Anxious and community youth)</t>
  </si>
  <si>
    <t>Huntley 2020</t>
  </si>
  <si>
    <r>
      <t>Huntley, C. D., Young, B., Smith, C. T., &amp; Fisher, P. L. (2020). Uncertainty and test anxiety: Psychometric properties of the Intolerance of Uncertainty Scale–12 (IUS-12) among university students. </t>
    </r>
    <r>
      <rPr>
        <i/>
        <sz val="10"/>
        <color rgb="FF222222"/>
        <rFont val="Arial"/>
        <family val="2"/>
      </rPr>
      <t>International Journal of Educational Research</t>
    </r>
    <r>
      <rPr>
        <sz val="10"/>
        <color rgb="FF222222"/>
        <rFont val="Arial"/>
        <family val="2"/>
      </rPr>
      <t>, </t>
    </r>
    <r>
      <rPr>
        <i/>
        <sz val="10"/>
        <color rgb="FF222222"/>
        <rFont val="Arial"/>
        <family val="2"/>
      </rPr>
      <t>104</t>
    </r>
    <r>
      <rPr>
        <sz val="10"/>
        <color rgb="FF222222"/>
        <rFont val="Arial"/>
        <family val="2"/>
      </rPr>
      <t>, 101672.</t>
    </r>
  </si>
  <si>
    <t>United Kingdom</t>
  </si>
  <si>
    <t>IUS-12</t>
  </si>
  <si>
    <t>Undergraduate - trait anxiety sample</t>
  </si>
  <si>
    <t>20.79 (3.46)</t>
  </si>
  <si>
    <t>201 women, 82 men (2 did not specify)</t>
  </si>
  <si>
    <t>Inter-correlations among IUS-12 and other study variables (TAI, STICSA, age) were examined</t>
  </si>
  <si>
    <t>Unidimensional, 2-factor correlated traits and bifactor models</t>
  </si>
  <si>
    <t>Factor analyses supported a bifactor model with a robust and reliable general IU factor, which was replicated across two samples. IU was strongly associated with both trait and state test anxiety.</t>
  </si>
  <si>
    <t>Bifactor model has a robust and reliable general IU factor, which was replicated across two samples</t>
  </si>
  <si>
    <t>Practically, the IUS-12 can be considered a unidimensional representation of IU, and in the context of UK University students, total scores should be used</t>
  </si>
  <si>
    <t>Undergraduate - state anxiety sample</t>
  </si>
  <si>
    <t>21.87 (2.52)</t>
  </si>
  <si>
    <t>259 women, 204 men</t>
  </si>
  <si>
    <t>Lauriola 2016</t>
  </si>
  <si>
    <r>
      <t>Lauriola, M., Mosca, O., &amp; Carleton, R. N. (2016). Hierarchical factor structure of the intolerance of uncertainty scale short form (IUS-12) in the Italian version. </t>
    </r>
    <r>
      <rPr>
        <i/>
        <sz val="10"/>
        <color rgb="FF222222"/>
        <rFont val="Arial"/>
        <family val="2"/>
      </rPr>
      <t>TPM: Testing, Psychometrics, Methodology in Applied Psychology</t>
    </r>
    <r>
      <rPr>
        <sz val="10"/>
        <color rgb="FF222222"/>
        <rFont val="Arial"/>
        <family val="2"/>
      </rPr>
      <t>, </t>
    </r>
    <r>
      <rPr>
        <i/>
        <sz val="10"/>
        <color rgb="FF222222"/>
        <rFont val="Arial"/>
        <family val="2"/>
      </rPr>
      <t>23</t>
    </r>
    <r>
      <rPr>
        <sz val="10"/>
        <color rgb="FF222222"/>
        <rFont val="Arial"/>
        <family val="2"/>
      </rPr>
      <t>(3).</t>
    </r>
  </si>
  <si>
    <t xml:space="preserve">Italian </t>
  </si>
  <si>
    <t>IUS - 12 (Italian)</t>
  </si>
  <si>
    <t>23.70 (4.80)</t>
  </si>
  <si>
    <t>266 women, 94 men</t>
  </si>
  <si>
    <t>Unidimensional, Correlated and second order Two Factor, Bifactor</t>
  </si>
  <si>
    <t>Second order Two factor</t>
  </si>
  <si>
    <t>Presentation mode (IUS-12, IUS-27)</t>
  </si>
  <si>
    <t>The bi-factor model fitted the sample data better than alternative models. The general factor accounted for 80% of the item variance. Presentation mode did not impact scalar invariance. Convergent validity with neuroticism, need for closure, and the uncertainty
response scale was high for the total score. As such, scoring the IUS-12 total score is recommended in clinical research and assessment.</t>
  </si>
  <si>
    <t>Yes - The bifactor model fitted the sample data better than alternative models.</t>
  </si>
  <si>
    <t>No - In this research they found that the General IU measure was highly reliable and accounted for about 75% of the IUS-12 total score variance</t>
  </si>
  <si>
    <t>Total scores can be used, and they may be more appropriate for assessments</t>
  </si>
  <si>
    <t>24.40 (2.90)</t>
  </si>
  <si>
    <t>115 women, 52 men</t>
  </si>
  <si>
    <t>The bi-factor model fitted the sample data better than alternative models. The general factor accounted for 80% of the item variance. Presentation mode did not impact scalar invariance. Convergent validity with neuroticism, need for closure, and the uncertainty response scale was high for the total score. As such, scoring the IUS-12 total score is recommended in clinical research and assessment.</t>
  </si>
  <si>
    <t>25.00 (4.30)</t>
  </si>
  <si>
    <t>73 women, 9 men</t>
  </si>
  <si>
    <t>Saulnier 2019</t>
  </si>
  <si>
    <r>
      <t>Saulnier, K. G., Allan, N. P., Raines, A. M., &amp; Schmidt, N. B. (2019). Depression and intolerance of uncertainty: relations between uncertainty subfactors and depression dimensions. </t>
    </r>
    <r>
      <rPr>
        <i/>
        <sz val="10"/>
        <color rgb="FF222222"/>
        <rFont val="Arial"/>
        <family val="2"/>
      </rPr>
      <t>Psychiatry</t>
    </r>
    <r>
      <rPr>
        <sz val="10"/>
        <color rgb="FF222222"/>
        <rFont val="Arial"/>
        <family val="2"/>
      </rPr>
      <t>, </t>
    </r>
    <r>
      <rPr>
        <i/>
        <sz val="10"/>
        <color rgb="FF222222"/>
        <rFont val="Arial"/>
        <family val="2"/>
      </rPr>
      <t>82</t>
    </r>
    <r>
      <rPr>
        <sz val="10"/>
        <color rgb="FF222222"/>
        <rFont val="Arial"/>
        <family val="2"/>
      </rPr>
      <t>(1), 72-79.</t>
    </r>
  </si>
  <si>
    <t>Clinical (Oupatient clinic, 'elevated psychopathology')</t>
  </si>
  <si>
    <t>35.54 (16.20)</t>
  </si>
  <si>
    <t>203 women, 171 men</t>
  </si>
  <si>
    <t>Unidimensional, Correlated Two Factor, Bifactor</t>
  </si>
  <si>
    <t>A bifactor model of IU, composed of a general IU factor and specific Inhibitory IU and Prospective IU factors, provided superior model fit compared to one- and two-factor solutions. The general IU factor related to both Cognitive and Affective/Somatic factors. Inhibitory IU related to the Cognitive factor, but not the Affective/Somatic factor. Prospective IU was not related to Cognitive or Affective/ Somatic factors. These findings elucidate the relations between IU and depression symptoms and have important theoretical implications regarding the etiology of depressive symptoms. In particular, inhibitory IU may be a novel target for intervention efforts in individuals presenting with depressive symptoms.</t>
  </si>
  <si>
    <t>Yes - A bifactor model of Intolerance of Uncertainty provided superior model fit compared to other solutions.</t>
  </si>
  <si>
    <t xml:space="preserve">This study was conducted in the context of relating intolerance of uncertainty to depression, and they found that in this case, the IU subscale may be useful when treating depression instead of using it as a unidimensional scale. </t>
  </si>
  <si>
    <t>Shihata 2018</t>
  </si>
  <si>
    <r>
      <t>Shihata, S., McEvoy, P. M., &amp; Mullan, B. A. (2018). A bifactor model of intolerance of uncertainty in undergraduate and clinical samples: Do we need to reconsider the two-factor model?. </t>
    </r>
    <r>
      <rPr>
        <i/>
        <sz val="10"/>
        <color rgb="FF222222"/>
        <rFont val="Arial"/>
        <family val="2"/>
      </rPr>
      <t>Psychological Assessment</t>
    </r>
    <r>
      <rPr>
        <sz val="10"/>
        <color rgb="FF222222"/>
        <rFont val="Arial"/>
        <family val="2"/>
      </rPr>
      <t>, </t>
    </r>
    <r>
      <rPr>
        <i/>
        <sz val="10"/>
        <color rgb="FF222222"/>
        <rFont val="Arial"/>
        <family val="2"/>
      </rPr>
      <t>30</t>
    </r>
    <r>
      <rPr>
        <sz val="10"/>
        <color rgb="FF222222"/>
        <rFont val="Arial"/>
        <family val="2"/>
      </rPr>
      <t>(7), 893.</t>
    </r>
  </si>
  <si>
    <t>Australia</t>
  </si>
  <si>
    <t>21.00 (4.91)</t>
  </si>
  <si>
    <t>405 women, 101 men</t>
  </si>
  <si>
    <t>Unidimensional, correlated two factor and bifactor models</t>
  </si>
  <si>
    <t>The results of both studies supported a bifactor model consisting of a strong general IU factor. The general IU factor explained the majority of unique variance in the IUS-12, and suggested that a total score is generally appropriate for assessing IU. The general IU factor was most strongly and consistently associated with symptoms of multiple disorders. The inhibitory IU group factor was more weakly associated with most symptom measures in the clinical sample, but only with social phobia symptoms in the undergraduate sample. The prospective IU group factor was only separable from the general IU factor in the undergraduate sample, and did not explain unique variance in disorder symptoms.</t>
  </si>
  <si>
    <t>The majority of the reliable variance in the PU and IU subscale scores was found to be explained by the general IU factor</t>
  </si>
  <si>
    <t>The general IU factor explained the majority of unique variance in the IUS-12, and suggests that a total score is generally appropriate for assessing IU. Results suggest that researchers and clinicials should consider using thr total score but not the subscale scores.</t>
  </si>
  <si>
    <t>Clinical</t>
  </si>
  <si>
    <t>33.67 (12.24)</t>
  </si>
  <si>
    <t>346 women, 178 men</t>
  </si>
  <si>
    <t>Wilson 2020</t>
  </si>
  <si>
    <r>
      <t>Wilson, E. J., Stapinski, L., Dueber, D. M., Rapee, R. M., Burton, A. L., &amp; Abbott, M. J. (2020). Psychometric Properties of the Intolerance of Uncertainty Scale-12 in Generalized Anxiety Disorder: Assessment of Factor Structure, Measurement Properties and Clinical Utility. </t>
    </r>
    <r>
      <rPr>
        <i/>
        <sz val="10"/>
        <color rgb="FF222222"/>
        <rFont val="Arial"/>
        <family val="2"/>
      </rPr>
      <t>Journal of Anxiety Disorders</t>
    </r>
    <r>
      <rPr>
        <sz val="10"/>
        <color rgb="FF222222"/>
        <rFont val="Arial"/>
        <family val="2"/>
      </rPr>
      <t>, 102309.</t>
    </r>
  </si>
  <si>
    <t>35.55 (14.08)</t>
  </si>
  <si>
    <t>50 women, 26 men</t>
  </si>
  <si>
    <t>Unidimensional, correlated two-factor, standard bifactor</t>
  </si>
  <si>
    <t>MI time (12 week test-retest), Presentation mode (IUS-12, IUS-27), clinical vs non-clinical sample</t>
  </si>
  <si>
    <t xml:space="preserve"> Confirmatory factor analysis determined that the bifactor type (two-factor testlet) model demonstrated significantly better fit in comparison to the unidimensional model for the clinical sample. The IUS-12 exhibited limited multidimen-sionality indicating that only the total score provides meaningful interpretation. The IUS-12 demonstrated good construct validity (with DASS-21, MCQ-30, and PSWQ), good internal consistency, as well as good test-retest reliability over 12-weeks. The IUS-12 demonstrated responsivity to treatment following cognitive behavioral therapy and mindfulness based psychological interventions. Receiver operating characteristic curve analysis indicated an optimal cut-off score of 28 for distinguishing individuals with GAD from non-clinical cases. Overall, the IUS-12 is a valid, reliable and clinically useful instrument for individuals with GAD.   </t>
  </si>
  <si>
    <t>The bifactor model demonstrated significantly better fit in comparison to the unidimensional model for the clinical sample.</t>
  </si>
  <si>
    <t>The IUS-12 demonstrated good test-retest reliability.</t>
  </si>
  <si>
    <t>Results suggest that clinician and researchers should only use the total score as a measure of IU for individuals with GAD</t>
  </si>
  <si>
    <t>Clinical (GAD)</t>
  </si>
  <si>
    <t>37.14 (12.47)</t>
  </si>
  <si>
    <t>106 women, 30 men</t>
  </si>
  <si>
    <t>Unidimensional, correlated two factor, standard bifactor</t>
  </si>
  <si>
    <t>MI time (12 week test-retest), Presentation mode (IUS-12, IUS-27), Clinical vs non-clinical sample</t>
  </si>
  <si>
    <t>Wilson, E. J., Stapinski, L., Dueber, D. M., Rapee, R. M., Burton, A. L., &amp; Abbott, M. J. (2020). Psychometric Properties of the Intolerance of Uncertainty Scale-12 in Generalized Anxiety Disorder: Assessment of Factor Structure, Measurement Properties an</t>
  </si>
  <si>
    <t>Combined sample (clinical and community)</t>
  </si>
  <si>
    <t>Yao 2020</t>
  </si>
  <si>
    <r>
      <t>Yao, N., Qian, M., Jiang, Y., &amp; Elhai, J. D. (2020). The Influence of Intolerance of Uncertainty on Anxiety and Depression Symptoms in Chinese-speaking Samples: Structure and Validity of The Chinese Translation of The Intolerance of Uncertainty Scale. </t>
    </r>
    <r>
      <rPr>
        <i/>
        <sz val="10"/>
        <color rgb="FF222222"/>
        <rFont val="Arial"/>
        <family val="2"/>
      </rPr>
      <t>Journal of Personality Assessment</t>
    </r>
    <r>
      <rPr>
        <sz val="10"/>
        <color rgb="FF222222"/>
        <rFont val="Arial"/>
        <family val="2"/>
      </rPr>
      <t>, 1-10.</t>
    </r>
  </si>
  <si>
    <t>China</t>
  </si>
  <si>
    <t>Chinese</t>
  </si>
  <si>
    <t>IUS-27, IUS- 12 and IUS-18 (Chinese)</t>
  </si>
  <si>
    <t>University students (Undergraduate and Postgraduate)</t>
  </si>
  <si>
    <t>21.31 (2.76)</t>
  </si>
  <si>
    <t xml:space="preserve">449 women, 247 men </t>
  </si>
  <si>
    <t>Correlated Two-factor and bifactor models</t>
  </si>
  <si>
    <t>no</t>
  </si>
  <si>
    <t>All IUS models demonstrated acceptable fit. Using the bifactor model of the IUS-12 (Chinese translation),the hierarchical model of IU affecting anxiety and depression via neuroticism was supported. Theprospective and inhibitory IU factors performed differently in relating to emotional vulnerabilitiesand symptoms. We provide suggestions for measuring and modeling IU, and the role of IU as thebasic transdiagnostic vulnerability was suggested in Chinese-speaking samples.</t>
  </si>
  <si>
    <t xml:space="preserve">Using the IUS-12 total scores was supported. </t>
  </si>
  <si>
    <t>Community (Adult)</t>
  </si>
  <si>
    <t>30.64 (6.28)</t>
  </si>
  <si>
    <t>472 women, 235 men</t>
  </si>
  <si>
    <t>Hale 2016</t>
  </si>
  <si>
    <r>
      <t>Hale, W., Richmond, M., Bennett, J., Berzins, T., Fields, A., Weber, D., ... &amp; Osman, A. (2016). Resolving uncertainty about the Intolerance of Uncertainty Scale–12: Application of modern psychometric strategies. </t>
    </r>
    <r>
      <rPr>
        <i/>
        <sz val="10"/>
        <color rgb="FF222222"/>
        <rFont val="Arial"/>
        <family val="2"/>
      </rPr>
      <t>Journal of personality assessment</t>
    </r>
    <r>
      <rPr>
        <sz val="10"/>
        <color rgb="FF222222"/>
        <rFont val="Arial"/>
        <family val="2"/>
      </rPr>
      <t>, </t>
    </r>
    <r>
      <rPr>
        <i/>
        <sz val="10"/>
        <color rgb="FF222222"/>
        <rFont val="Arial"/>
        <family val="2"/>
      </rPr>
      <t>98</t>
    </r>
    <r>
      <rPr>
        <sz val="10"/>
        <color rgb="FF222222"/>
        <rFont val="Arial"/>
        <family val="2"/>
      </rPr>
      <t>(2), 200-208.</t>
    </r>
  </si>
  <si>
    <t>Undergraduate men</t>
  </si>
  <si>
    <t>20.37 (3.94)</t>
  </si>
  <si>
    <t>276 men, 0 women</t>
  </si>
  <si>
    <t>Bifactor, Unidimensional and 2-factor correlated traits</t>
  </si>
  <si>
    <t>Gender and Ethnicity</t>
  </si>
  <si>
    <t xml:space="preserve"> Comparison of a bifactor model to a unidimensional model and a 2-factorcorrelated traits model indicated that the bifactor model exhibited superiorfit to the sample data. This model provided evidence of a strong general intolerance of uncertainty factor that was more reliable andaccounted for significantly more common variance than either subscale factor. Examination of the itemresponse theory slope parameters revealed negligible bias in the measure’s items across genders. Finally,a series of simultaneous regression analyses was conducted to examine differential correlates of the measure’s total scale scores for men and women.</t>
  </si>
  <si>
    <t>Yes - a strong general intolerance of uncertaity factor is more reliable and accounted for more common variance than subscale factors.</t>
  </si>
  <si>
    <t>Strong support for the unidimensionality of the IUS-12 , with reccommendations to avoid scoring on the basis of sub-scales</t>
  </si>
  <si>
    <t>Undergraduate women</t>
  </si>
  <si>
    <t>20.20 (3.91)</t>
  </si>
  <si>
    <t>387 women, 0 men</t>
  </si>
  <si>
    <t xml:space="preserve"> Comparison of a bifactor model to a unidimensional model and a 2-factorcorrelated traits model indicated that the bifactor model exhibited superiorfit to the sample data. This model provided evidence of a strong general intolerance of uncertainty factor that was more reliable andaccounted for significantly more common variance than either subscale factor. Examination of the itemresponse theory slope parameters revealed negligible bias in the measure’s items across genders. Finally,a series of simultaneous regression analyses was conducted to examine differential correlates of themeasure’s total scale scores for men and women.</t>
  </si>
  <si>
    <t>Osmanağaoğlu 2020</t>
  </si>
  <si>
    <t>Osmanağaoğlu, N., Creswell, C., Snuggs, S., Stuijfzand, S., &amp; Dodd, H. F. (2021). Evaluating the psychometric properties of the intolerance of uncertainty scale for children in a preadolescent sample. Journal of Anxiety Disorders, 77, 102343.</t>
  </si>
  <si>
    <t>UK</t>
  </si>
  <si>
    <t>IUS-C</t>
  </si>
  <si>
    <t>Youth</t>
  </si>
  <si>
    <t>9.97  (1.03)</t>
  </si>
  <si>
    <t>109 eomen, 111 men</t>
  </si>
  <si>
    <t>Time (2 - week test-restest)</t>
  </si>
  <si>
    <t>For the child-report form, a bifactor model offered reasonable fit for the 12-item measure but the best fit came from the modified one-factor model, which was the only 12 item model of the child-report data that met thresholds for adequate model fit. Our conclusion on the basis of these results is that for preadolescent children the 12-item IUS-C is appropriate and that the total score can be used confidently.</t>
  </si>
  <si>
    <t>IUS-C (Parent report)</t>
  </si>
  <si>
    <t xml:space="preserve">Parents of youth </t>
  </si>
  <si>
    <t>-</t>
  </si>
  <si>
    <t>187 women, 17 men</t>
  </si>
  <si>
    <t>For the parent-report 12-item version, the bifactor model led to computational errors, the two-factor model offered adequate fit and the best fit came from a modified one-factor model. For parent-report, there is also support for the use of the total score, with the one-factor model offering the best solution. However, the two-factor solution was also adequate, and the internal consistency, test-retest reliability and convergent validity for these subscales is comparable with the total score, so their use could be justified.</t>
  </si>
  <si>
    <t>Score: V= very good; A = adequate; D = doubtful; I = inadequate; N= not applicable</t>
  </si>
  <si>
    <t xml:space="preserve">Article reference: </t>
  </si>
  <si>
    <t>Bottesi, 2019</t>
  </si>
  <si>
    <t>Osmanagaoglu (2020)</t>
  </si>
  <si>
    <t>3. Structural validity</t>
  </si>
  <si>
    <t>rater 1</t>
  </si>
  <si>
    <t>unidimensionality or structural validity?</t>
  </si>
  <si>
    <t>For CTT: Was exploratory or confirmatory factor analysis performed?</t>
  </si>
  <si>
    <t>For IRT/Rasch: does the chosen model fit to the research question?</t>
  </si>
  <si>
    <t>Was the sample size included in the analysis adequate?</t>
  </si>
  <si>
    <t>Were there any other important flaws?</t>
  </si>
  <si>
    <t>N/A - In delphi study there is no guidance about what constitues as 'other', and this gives good authority to not include this part</t>
  </si>
  <si>
    <r>
      <t xml:space="preserve">TOTAL </t>
    </r>
    <r>
      <rPr>
        <i/>
        <sz val="11"/>
        <color rgb="FF000000"/>
        <rFont val="Calibri"/>
        <family val="2"/>
        <scheme val="minor"/>
      </rPr>
      <t>Lowest score of items 1-4</t>
    </r>
  </si>
  <si>
    <t>4. Internal consistency</t>
  </si>
  <si>
    <t>Was an internal consistency statistic calculated for each unidimensional (sub)scale separately?</t>
  </si>
  <si>
    <t>For continuous scores: Was Cronbach’s alpha or omega calculated?</t>
  </si>
  <si>
    <t>For dichotomous scores: Was Cronbach’s alpha or KR-20 calculated?</t>
  </si>
  <si>
    <t>For IRT-based scores: Was standard error of the theta (SE (θ)) or reliability coefficient of estimated latent trait value (index of (subject or item) separation) calculated?</t>
  </si>
  <si>
    <t>N</t>
  </si>
  <si>
    <t>Y - Correlations absent; Omega not calculated</t>
  </si>
  <si>
    <t>Y - Correlations absent; omega not calculated; alpha only for general factor</t>
  </si>
  <si>
    <t>Y</t>
  </si>
  <si>
    <r>
      <t xml:space="preserve">TOTAL </t>
    </r>
    <r>
      <rPr>
        <i/>
        <sz val="11"/>
        <color rgb="FF000000"/>
        <rFont val="Calibri"/>
        <family val="2"/>
        <scheme val="minor"/>
      </rPr>
      <t>Lowest score of items 1-5</t>
    </r>
  </si>
  <si>
    <t>V</t>
  </si>
  <si>
    <t>I</t>
  </si>
  <si>
    <t>6. Reliability</t>
  </si>
  <si>
    <t>Were patients stable in the interim period on the construct to be measured?</t>
  </si>
  <si>
    <t>Was the time interval appropriate?</t>
  </si>
  <si>
    <t>Were the test conditions similar for the measurements? e.g. type of administration, environment, instructions</t>
  </si>
  <si>
    <t>For continuous scores: Was an intraclass correlation coefficient (ICC) calculated?</t>
  </si>
  <si>
    <t>For dichotomous/nominal/ordinal scores: Was kappa calculated?</t>
  </si>
  <si>
    <t>For ordinal scores: Was a weighted kappa calculated?</t>
  </si>
  <si>
    <t>For ordinal scores: Was the weighting scheme described? e.g. linear, quadratic</t>
  </si>
  <si>
    <r>
      <t xml:space="preserve">TOTAL </t>
    </r>
    <r>
      <rPr>
        <i/>
        <sz val="11"/>
        <color rgb="FF000000"/>
        <rFont val="Calibri"/>
        <family val="2"/>
        <scheme val="minor"/>
      </rPr>
      <t>Lowest score of items 1-8</t>
    </r>
  </si>
  <si>
    <t>A</t>
  </si>
  <si>
    <t>Weighted mean loading</t>
  </si>
  <si>
    <t>N*</t>
  </si>
  <si>
    <t>k</t>
  </si>
  <si>
    <t>k*</t>
  </si>
  <si>
    <t>Min</t>
  </si>
  <si>
    <t>Max</t>
  </si>
  <si>
    <t>Range</t>
  </si>
  <si>
    <t>Median</t>
  </si>
  <si>
    <t>Difference mean - median</t>
  </si>
  <si>
    <t>General</t>
  </si>
  <si>
    <t>Prospective</t>
  </si>
  <si>
    <t>Inhibitory</t>
  </si>
  <si>
    <t xml:space="preserve">Item </t>
  </si>
  <si>
    <t xml:space="preserve">General </t>
  </si>
  <si>
    <t>Sum</t>
  </si>
  <si>
    <t>Variance</t>
  </si>
  <si>
    <t>SD</t>
  </si>
  <si>
    <t>SE</t>
  </si>
  <si>
    <t>Loading</t>
  </si>
  <si>
    <t>Lo CI</t>
  </si>
  <si>
    <t>Hi CI</t>
  </si>
  <si>
    <t>+/-</t>
  </si>
  <si>
    <t>KLo CI</t>
  </si>
  <si>
    <t>Unforeseen events upset me greatly.</t>
  </si>
  <si>
    <t>It frustrates me not having all the information I need.</t>
  </si>
  <si>
    <t>One should always look ahead so as to avoid surprises.</t>
  </si>
  <si>
    <t>A small, unforeseen event can spoil everything, even with the best of planning.</t>
  </si>
  <si>
    <t>I always want to know what the future has in store for me.</t>
  </si>
  <si>
    <t>I can’t stand being taken by surprise.</t>
  </si>
  <si>
    <t>I should be able to organize everything in advance.</t>
  </si>
  <si>
    <t>Uncertainty keeps me from living a full life.</t>
  </si>
  <si>
    <t>When it’s time to act, uncertainty paralyses me.</t>
  </si>
  <si>
    <t>When I am uncertain I can’t function very well.</t>
  </si>
  <si>
    <t>The smallest doubt can stop me from acting.</t>
  </si>
  <si>
    <t>I must get away from all uncertain situations.</t>
  </si>
  <si>
    <t>*Prospective</t>
  </si>
  <si>
    <t xml:space="preserve"> </t>
  </si>
  <si>
    <t>Grand</t>
  </si>
  <si>
    <t>Bottesi 2020 (a)</t>
  </si>
  <si>
    <t>Cornacchio (a - child)</t>
  </si>
  <si>
    <t>Cornacchio (b - parent)</t>
  </si>
  <si>
    <t>Huntley (a - Trait)</t>
  </si>
  <si>
    <t>Huntley (b - State)</t>
  </si>
  <si>
    <t>Lauriola</t>
  </si>
  <si>
    <t>Shihata (a - Undergraduate)</t>
  </si>
  <si>
    <t>Shihata (b - Clinical)</t>
  </si>
  <si>
    <t>Wilson</t>
  </si>
  <si>
    <t>Saulnier</t>
  </si>
  <si>
    <t>Hale</t>
  </si>
  <si>
    <t>Yao (a - student)</t>
  </si>
  <si>
    <t>Yao (b - adult)</t>
  </si>
  <si>
    <t>Osmanağaoğlu (child)</t>
  </si>
  <si>
    <t>Propspective</t>
  </si>
  <si>
    <t>Weighted Mean</t>
  </si>
  <si>
    <t>Deviation from Mean</t>
  </si>
  <si>
    <t>Weighted Deviation Squared</t>
  </si>
  <si>
    <t xml:space="preserve"> -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</si>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</sst>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20">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sz val="11"/>
      <name val="Calibri"/>
      <family val="2"/>
      <scheme val="minor"/>
    </font>
    <font>
      <i/>
      <sz val="11"/>
      <color theme="1"/>
      <name val="Calibri"/>
      <family val="2"/>
      <scheme val="minor"/>
    </font>
    <font>
      <b/>
      <i/>
      <sz val="11"/>
      <color rgb="FF000000"/>
      <name val="Calibri"/>
      <family val="2"/>
      <scheme val="minor"/>
    </font>
    <font>
      <sz val="11"/>
      <color theme="8" tint="0.79998168889431442"/>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i/>
      <sz val="11"/>
      <color theme="1"/>
      <name val="Calibri"/>
      <family val="2"/>
      <scheme val="minor"/>
    </font>
    <font>
      <sz val="10"/>
      <color rgb="FF222222"/>
      <name val="Arial"/>
      <family val="2"/>
      <charset val="1"/>
    </font>
    <font>
      <i/>
      <sz val="10"/>
      <color rgb="FF222222"/>
      <name val="Arial"/>
      <family val="2"/>
      <charset val="1"/>
    </font>
    <font>
      <sz val="11"/>
      <color rgb="FF444444"/>
      <name val="Calibri"/>
      <family val="2"/>
      <charset val="1"/>
    </font>
    <font>
      <sz val="9.5"/>
      <color rgb="FF000000"/>
      <name val="Helvetica"/>
      <family val="2"/>
      <charset val="1"/>
    </font>
    <font>
      <sz val="10"/>
      <color rgb="FF222222"/>
      <name val="Arial"/>
      <family val="2"/>
    </font>
    <font>
      <i/>
      <sz val="10"/>
      <color rgb="FF222222"/>
      <name val="Arial"/>
      <family val="2"/>
    </font>
    <font>
      <sz val="11"/>
      <color rgb="FF444444"/>
      <name val="Calibri"/>
      <family val="2"/>
    </font>
  </fonts>
  <fills count="2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0000"/>
        <bgColor indexed="64"/>
      </patternFill>
    </fill>
    <fill>
      <patternFill patternType="solid">
        <fgColor theme="7"/>
        <bgColor indexed="64"/>
      </patternFill>
    </fill>
    <fill>
      <patternFill patternType="solid">
        <fgColor theme="7"/>
        <bgColor theme="4" tint="0.79998168889431442"/>
      </patternFill>
    </fill>
    <fill>
      <patternFill patternType="solid">
        <fgColor theme="0" tint="-4.9989318521683403E-2"/>
        <bgColor indexed="64"/>
      </patternFill>
    </fill>
    <fill>
      <patternFill patternType="solid">
        <fgColor rgb="FFEEEAF2"/>
        <bgColor indexed="64"/>
      </patternFill>
    </fill>
    <fill>
      <patternFill patternType="solid">
        <fgColor rgb="FFD9E1F2"/>
        <bgColor indexed="64"/>
      </patternFill>
    </fill>
    <fill>
      <patternFill patternType="solid">
        <fgColor rgb="FFFCE4D6"/>
        <bgColor indexed="64"/>
      </patternFill>
    </fill>
    <fill>
      <patternFill patternType="solid">
        <fgColor rgb="FFEDEDED"/>
        <bgColor indexed="64"/>
      </patternFill>
    </fill>
    <fill>
      <patternFill patternType="solid">
        <fgColor rgb="FFE7E6E6"/>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13">
    <xf numFmtId="0" fontId="0" fillId="0" borderId="0" xfId="0"/>
    <xf numFmtId="0" fontId="2" fillId="0" borderId="0" xfId="0" applyFont="1"/>
    <xf numFmtId="2" fontId="2" fillId="2" borderId="0" xfId="0" applyNumberFormat="1" applyFont="1" applyFill="1"/>
    <xf numFmtId="0" fontId="2" fillId="2" borderId="0" xfId="0" applyFont="1" applyFill="1"/>
    <xf numFmtId="1" fontId="3" fillId="3" borderId="0" xfId="0" applyNumberFormat="1" applyFont="1" applyFill="1"/>
    <xf numFmtId="0" fontId="3" fillId="3" borderId="0" xfId="0" applyFont="1" applyFill="1"/>
    <xf numFmtId="0" fontId="2" fillId="3" borderId="0" xfId="0" applyFont="1" applyFill="1"/>
    <xf numFmtId="1" fontId="3" fillId="4" borderId="0" xfId="0" applyNumberFormat="1" applyFont="1" applyFill="1"/>
    <xf numFmtId="0" fontId="3" fillId="4" borderId="0" xfId="0" applyFont="1" applyFill="1"/>
    <xf numFmtId="0" fontId="2" fillId="4" borderId="0" xfId="0" applyFont="1" applyFill="1"/>
    <xf numFmtId="1" fontId="3" fillId="5" borderId="0" xfId="0" applyNumberFormat="1" applyFont="1" applyFill="1"/>
    <xf numFmtId="0" fontId="3" fillId="5" borderId="0" xfId="0" applyFont="1" applyFill="1"/>
    <xf numFmtId="0" fontId="2" fillId="5" borderId="0" xfId="0" applyFont="1" applyFill="1"/>
    <xf numFmtId="1" fontId="3" fillId="6" borderId="0" xfId="0" applyNumberFormat="1" applyFont="1" applyFill="1"/>
    <xf numFmtId="0" fontId="3" fillId="6" borderId="0" xfId="0" applyFont="1" applyFill="1"/>
    <xf numFmtId="0" fontId="2" fillId="6" borderId="0" xfId="0" applyFont="1" applyFill="1"/>
    <xf numFmtId="1" fontId="3" fillId="7" borderId="0" xfId="0" applyNumberFormat="1" applyFont="1" applyFill="1"/>
    <xf numFmtId="0" fontId="3" fillId="7" borderId="0" xfId="0" applyFont="1" applyFill="1"/>
    <xf numFmtId="1" fontId="3" fillId="8" borderId="0" xfId="0" applyNumberFormat="1" applyFont="1" applyFill="1"/>
    <xf numFmtId="0" fontId="3" fillId="8" borderId="0" xfId="0" applyFont="1" applyFill="1"/>
    <xf numFmtId="0" fontId="2" fillId="8" borderId="0" xfId="0" applyFont="1" applyFill="1"/>
    <xf numFmtId="1" fontId="3" fillId="9" borderId="0" xfId="0" applyNumberFormat="1" applyFont="1" applyFill="1"/>
    <xf numFmtId="0" fontId="3" fillId="9" borderId="0" xfId="0" applyFont="1" applyFill="1"/>
    <xf numFmtId="0" fontId="2" fillId="9" borderId="0" xfId="0" applyFont="1" applyFill="1"/>
    <xf numFmtId="1" fontId="3" fillId="10" borderId="0" xfId="0" applyNumberFormat="1" applyFont="1" applyFill="1"/>
    <xf numFmtId="0" fontId="3" fillId="10" borderId="0" xfId="0" applyFont="1" applyFill="1"/>
    <xf numFmtId="1" fontId="3" fillId="11" borderId="0" xfId="0" applyNumberFormat="1" applyFont="1" applyFill="1"/>
    <xf numFmtId="0" fontId="3" fillId="11" borderId="0" xfId="0" applyFont="1" applyFill="1"/>
    <xf numFmtId="1" fontId="3" fillId="12" borderId="0" xfId="0" applyNumberFormat="1" applyFont="1" applyFill="1"/>
    <xf numFmtId="0" fontId="3" fillId="12" borderId="0" xfId="0" applyFont="1" applyFill="1"/>
    <xf numFmtId="1" fontId="3" fillId="13" borderId="0" xfId="0" applyNumberFormat="1" applyFont="1" applyFill="1"/>
    <xf numFmtId="0" fontId="3" fillId="13" borderId="0" xfId="0" applyFont="1" applyFill="1"/>
    <xf numFmtId="0" fontId="2" fillId="13" borderId="0" xfId="0" applyFont="1" applyFill="1"/>
    <xf numFmtId="1" fontId="3" fillId="14" borderId="0" xfId="0" applyNumberFormat="1" applyFont="1" applyFill="1"/>
    <xf numFmtId="0" fontId="3" fillId="14" borderId="0" xfId="0" applyFont="1" applyFill="1"/>
    <xf numFmtId="0" fontId="2" fillId="14" borderId="0" xfId="0" applyFont="1" applyFill="1"/>
    <xf numFmtId="1" fontId="2" fillId="6" borderId="0" xfId="0" applyNumberFormat="1" applyFont="1" applyFill="1"/>
    <xf numFmtId="0" fontId="0" fillId="6" borderId="0" xfId="0" applyFill="1"/>
    <xf numFmtId="0" fontId="2" fillId="7" borderId="0" xfId="0" applyFont="1" applyFill="1"/>
    <xf numFmtId="0" fontId="2" fillId="10" borderId="0" xfId="0" applyFont="1" applyFill="1"/>
    <xf numFmtId="0" fontId="2" fillId="11" borderId="0" xfId="0" applyFont="1" applyFill="1"/>
    <xf numFmtId="0" fontId="2" fillId="12" borderId="0" xfId="0" applyFont="1" applyFill="1"/>
    <xf numFmtId="2" fontId="2" fillId="0" borderId="0" xfId="0" applyNumberFormat="1" applyFont="1" applyAlignment="1">
      <alignment horizontal="center" vertical="top"/>
    </xf>
    <xf numFmtId="0" fontId="2" fillId="0" borderId="0" xfId="0" applyFont="1" applyAlignment="1">
      <alignment horizontal="center" vertical="top"/>
    </xf>
    <xf numFmtId="0" fontId="2" fillId="5" borderId="0" xfId="0" applyFont="1" applyFill="1" applyAlignment="1">
      <alignment horizontal="center" vertical="top"/>
    </xf>
    <xf numFmtId="0" fontId="2" fillId="6" borderId="0" xfId="0" applyFont="1" applyFill="1" applyAlignment="1">
      <alignment horizontal="center" vertical="top"/>
    </xf>
    <xf numFmtId="0" fontId="2" fillId="7" borderId="0" xfId="0" applyFont="1" applyFill="1" applyAlignment="1">
      <alignment horizontal="center" vertical="top"/>
    </xf>
    <xf numFmtId="0" fontId="2" fillId="8" borderId="0" xfId="0" applyFont="1" applyFill="1" applyAlignment="1">
      <alignment horizontal="center" vertical="top"/>
    </xf>
    <xf numFmtId="0" fontId="2" fillId="9" borderId="0" xfId="0" applyFont="1" applyFill="1" applyAlignment="1">
      <alignment horizontal="center" vertical="top"/>
    </xf>
    <xf numFmtId="0" fontId="2" fillId="10" borderId="0" xfId="0" applyFont="1" applyFill="1" applyAlignment="1">
      <alignment horizontal="center" vertical="top"/>
    </xf>
    <xf numFmtId="0" fontId="2" fillId="11" borderId="0" xfId="0" applyFont="1" applyFill="1" applyAlignment="1">
      <alignment horizontal="center" vertical="top"/>
    </xf>
    <xf numFmtId="0" fontId="2" fillId="12" borderId="0" xfId="0" applyFont="1" applyFill="1" applyAlignment="1">
      <alignment horizontal="center" vertical="top"/>
    </xf>
    <xf numFmtId="0" fontId="2" fillId="13" borderId="0" xfId="0" applyFont="1" applyFill="1" applyAlignment="1">
      <alignment horizontal="center" vertical="top"/>
    </xf>
    <xf numFmtId="0" fontId="2" fillId="14" borderId="0" xfId="0" applyFont="1" applyFill="1" applyAlignment="1">
      <alignment horizontal="center" vertical="top"/>
    </xf>
    <xf numFmtId="2" fontId="0" fillId="2" borderId="0" xfId="0" applyNumberFormat="1" applyFill="1" applyAlignment="1">
      <alignment horizontal="center" vertical="top"/>
    </xf>
    <xf numFmtId="2" fontId="4" fillId="2" borderId="0" xfId="0" applyNumberFormat="1" applyFont="1" applyFill="1" applyAlignment="1">
      <alignment horizontal="center" vertical="top"/>
    </xf>
    <xf numFmtId="2" fontId="4" fillId="0" borderId="0" xfId="0" applyNumberFormat="1" applyFont="1" applyAlignment="1">
      <alignment horizontal="center" vertical="top"/>
    </xf>
    <xf numFmtId="2" fontId="4" fillId="3" borderId="0" xfId="0" applyNumberFormat="1" applyFont="1" applyFill="1" applyAlignment="1">
      <alignment horizontal="center" vertical="top"/>
    </xf>
    <xf numFmtId="2" fontId="0" fillId="3" borderId="0" xfId="0" applyNumberFormat="1" applyFill="1" applyAlignment="1">
      <alignment horizontal="center" vertical="top"/>
    </xf>
    <xf numFmtId="2" fontId="0" fillId="0" borderId="0" xfId="0" applyNumberFormat="1" applyAlignment="1">
      <alignment horizontal="center" vertical="top"/>
    </xf>
    <xf numFmtId="2" fontId="4" fillId="4" borderId="0" xfId="0" applyNumberFormat="1" applyFont="1" applyFill="1" applyAlignment="1">
      <alignment horizontal="center" vertical="top"/>
    </xf>
    <xf numFmtId="2" fontId="0" fillId="4" borderId="0" xfId="0" applyNumberFormat="1" applyFill="1" applyAlignment="1">
      <alignment horizontal="center" vertical="top"/>
    </xf>
    <xf numFmtId="2" fontId="4" fillId="5" borderId="0" xfId="0" applyNumberFormat="1" applyFont="1" applyFill="1" applyAlignment="1">
      <alignment horizontal="center" vertical="top"/>
    </xf>
    <xf numFmtId="2" fontId="0" fillId="5" borderId="0" xfId="0" applyNumberFormat="1" applyFill="1" applyAlignment="1">
      <alignment horizontal="center" vertical="top"/>
    </xf>
    <xf numFmtId="2" fontId="4" fillId="6" borderId="0" xfId="0" applyNumberFormat="1" applyFont="1" applyFill="1" applyAlignment="1">
      <alignment horizontal="center" vertical="top"/>
    </xf>
    <xf numFmtId="2" fontId="0" fillId="6" borderId="0" xfId="0" applyNumberFormat="1" applyFill="1" applyAlignment="1">
      <alignment horizontal="center" vertical="top"/>
    </xf>
    <xf numFmtId="2" fontId="4" fillId="7" borderId="0" xfId="0" applyNumberFormat="1" applyFont="1" applyFill="1" applyAlignment="1">
      <alignment horizontal="center" vertical="top"/>
    </xf>
    <xf numFmtId="2" fontId="4" fillId="8" borderId="0" xfId="0" applyNumberFormat="1" applyFont="1" applyFill="1" applyAlignment="1">
      <alignment horizontal="center" vertical="top"/>
    </xf>
    <xf numFmtId="2" fontId="0" fillId="8" borderId="0" xfId="0" applyNumberFormat="1" applyFill="1" applyAlignment="1">
      <alignment horizontal="center" vertical="top"/>
    </xf>
    <xf numFmtId="2" fontId="4" fillId="9" borderId="0" xfId="0" applyNumberFormat="1" applyFont="1" applyFill="1" applyAlignment="1">
      <alignment horizontal="center" vertical="top"/>
    </xf>
    <xf numFmtId="2" fontId="5" fillId="15" borderId="0" xfId="0" applyNumberFormat="1" applyFont="1" applyFill="1" applyAlignment="1">
      <alignment horizontal="center" vertical="top"/>
    </xf>
    <xf numFmtId="2" fontId="0" fillId="9" borderId="0" xfId="0" applyNumberFormat="1" applyFill="1" applyAlignment="1">
      <alignment horizontal="center" vertical="top"/>
    </xf>
    <xf numFmtId="2" fontId="4" fillId="10" borderId="0" xfId="0" applyNumberFormat="1" applyFont="1" applyFill="1" applyAlignment="1">
      <alignment horizontal="center" vertical="top"/>
    </xf>
    <xf numFmtId="2" fontId="4" fillId="11" borderId="0" xfId="0" applyNumberFormat="1" applyFont="1" applyFill="1" applyAlignment="1">
      <alignment horizontal="center" vertical="top"/>
    </xf>
    <xf numFmtId="2" fontId="4" fillId="12" borderId="0" xfId="0" applyNumberFormat="1" applyFont="1" applyFill="1" applyAlignment="1">
      <alignment horizontal="center" vertical="top"/>
    </xf>
    <xf numFmtId="2" fontId="4" fillId="13" borderId="0" xfId="0" applyNumberFormat="1" applyFont="1" applyFill="1" applyAlignment="1">
      <alignment horizontal="center" vertical="top"/>
    </xf>
    <xf numFmtId="2" fontId="0" fillId="13" borderId="0" xfId="0" applyNumberFormat="1" applyFill="1" applyAlignment="1">
      <alignment horizontal="center" vertical="top"/>
    </xf>
    <xf numFmtId="2" fontId="4" fillId="14" borderId="0" xfId="0" applyNumberFormat="1" applyFont="1" applyFill="1" applyAlignment="1">
      <alignment horizontal="center" vertical="top"/>
    </xf>
    <xf numFmtId="2" fontId="0" fillId="14" borderId="0" xfId="0" applyNumberFormat="1" applyFill="1" applyAlignment="1">
      <alignment horizontal="center" vertical="top"/>
    </xf>
    <xf numFmtId="0" fontId="0" fillId="6" borderId="0" xfId="0" applyFill="1" applyAlignment="1">
      <alignment horizontal="center"/>
    </xf>
    <xf numFmtId="0" fontId="0" fillId="0" borderId="0" xfId="0" applyAlignment="1">
      <alignment horizontal="center"/>
    </xf>
    <xf numFmtId="2" fontId="0" fillId="6" borderId="0" xfId="0" applyNumberFormat="1" applyFill="1" applyAlignment="1">
      <alignment horizontal="center"/>
    </xf>
    <xf numFmtId="2" fontId="0" fillId="11" borderId="0" xfId="0" applyNumberFormat="1" applyFill="1" applyAlignment="1">
      <alignment horizontal="center" vertical="top"/>
    </xf>
    <xf numFmtId="2" fontId="0" fillId="7" borderId="0" xfId="0" applyNumberFormat="1" applyFill="1" applyAlignment="1">
      <alignment horizontal="center" vertical="top"/>
    </xf>
    <xf numFmtId="2" fontId="0" fillId="10" borderId="0" xfId="0" applyNumberFormat="1" applyFill="1" applyAlignment="1">
      <alignment horizontal="center" vertical="top"/>
    </xf>
    <xf numFmtId="2" fontId="0" fillId="12" borderId="0" xfId="0" applyNumberFormat="1" applyFill="1" applyAlignment="1">
      <alignment horizontal="center" vertical="top"/>
    </xf>
    <xf numFmtId="0" fontId="0" fillId="0" borderId="0" xfId="0" applyAlignment="1">
      <alignment horizontal="left"/>
    </xf>
    <xf numFmtId="2" fontId="2" fillId="5" borderId="0" xfId="0" applyNumberFormat="1" applyFont="1" applyFill="1" applyAlignment="1">
      <alignment horizontal="center" vertical="top"/>
    </xf>
    <xf numFmtId="2" fontId="2" fillId="6" borderId="0" xfId="0" applyNumberFormat="1" applyFont="1" applyFill="1" applyAlignment="1">
      <alignment horizontal="center" vertical="top"/>
    </xf>
    <xf numFmtId="2" fontId="2" fillId="7" borderId="0" xfId="0" applyNumberFormat="1" applyFont="1" applyFill="1" applyAlignment="1">
      <alignment horizontal="center" vertical="top"/>
    </xf>
    <xf numFmtId="2" fontId="2" fillId="8" borderId="0" xfId="0" applyNumberFormat="1" applyFont="1" applyFill="1" applyAlignment="1">
      <alignment horizontal="center" vertical="top"/>
    </xf>
    <xf numFmtId="2" fontId="2" fillId="9" borderId="0" xfId="0" applyNumberFormat="1" applyFont="1" applyFill="1" applyAlignment="1">
      <alignment horizontal="center" vertical="top"/>
    </xf>
    <xf numFmtId="2" fontId="2" fillId="10" borderId="0" xfId="0" applyNumberFormat="1" applyFont="1" applyFill="1" applyAlignment="1">
      <alignment horizontal="center" vertical="top"/>
    </xf>
    <xf numFmtId="2" fontId="2" fillId="11" borderId="0" xfId="0" applyNumberFormat="1" applyFont="1" applyFill="1" applyAlignment="1">
      <alignment horizontal="center" vertical="top"/>
    </xf>
    <xf numFmtId="2" fontId="2" fillId="12" borderId="0" xfId="0" applyNumberFormat="1" applyFont="1" applyFill="1" applyAlignment="1">
      <alignment horizontal="center" vertical="top"/>
    </xf>
    <xf numFmtId="2" fontId="2" fillId="13" borderId="0" xfId="0" applyNumberFormat="1" applyFont="1" applyFill="1" applyAlignment="1">
      <alignment horizontal="center" vertical="top"/>
    </xf>
    <xf numFmtId="2" fontId="2" fillId="14" borderId="0" xfId="0" applyNumberFormat="1" applyFont="1" applyFill="1" applyAlignment="1">
      <alignment horizontal="center" vertical="top"/>
    </xf>
    <xf numFmtId="2" fontId="2" fillId="3" borderId="0" xfId="0" applyNumberFormat="1" applyFont="1" applyFill="1" applyAlignment="1">
      <alignment horizontal="center" vertical="top"/>
    </xf>
    <xf numFmtId="1" fontId="2" fillId="0" borderId="0" xfId="0" applyNumberFormat="1" applyFont="1"/>
    <xf numFmtId="2" fontId="2" fillId="0" borderId="0" xfId="0" applyNumberFormat="1" applyFont="1"/>
    <xf numFmtId="2" fontId="0" fillId="0" borderId="0" xfId="0" applyNumberFormat="1"/>
    <xf numFmtId="1" fontId="0" fillId="0" borderId="0" xfId="0" applyNumberFormat="1"/>
    <xf numFmtId="1" fontId="0" fillId="0" borderId="0" xfId="0" applyNumberFormat="1" applyAlignment="1">
      <alignment wrapText="1"/>
    </xf>
    <xf numFmtId="49" fontId="6" fillId="0" borderId="0" xfId="0" applyNumberFormat="1" applyFont="1" applyAlignment="1">
      <alignment horizontal="left" vertical="top"/>
    </xf>
    <xf numFmtId="49" fontId="0" fillId="0" borderId="0" xfId="0" applyNumberFormat="1" applyAlignment="1">
      <alignment vertical="top" wrapText="1"/>
    </xf>
    <xf numFmtId="49" fontId="2" fillId="0" borderId="0" xfId="0" applyNumberFormat="1" applyFont="1" applyAlignment="1">
      <alignment vertical="top"/>
    </xf>
    <xf numFmtId="49" fontId="0" fillId="0" borderId="0" xfId="0" applyNumberFormat="1" applyAlignment="1">
      <alignment vertical="top"/>
    </xf>
    <xf numFmtId="49" fontId="0" fillId="16" borderId="1" xfId="0" applyNumberFormat="1" applyFill="1" applyBorder="1" applyAlignment="1">
      <alignment horizontal="center"/>
    </xf>
    <xf numFmtId="0" fontId="5" fillId="17" borderId="2" xfId="0" applyFont="1" applyFill="1" applyBorder="1"/>
    <xf numFmtId="0" fontId="5" fillId="16" borderId="2" xfId="0" applyFont="1" applyFill="1" applyBorder="1" applyAlignment="1">
      <alignment wrapText="1"/>
    </xf>
    <xf numFmtId="0" fontId="5" fillId="16" borderId="2" xfId="0" applyFont="1" applyFill="1" applyBorder="1"/>
    <xf numFmtId="49" fontId="2" fillId="0" borderId="3" xfId="0" applyNumberFormat="1" applyFont="1" applyBorder="1" applyAlignment="1">
      <alignment horizontal="center"/>
    </xf>
    <xf numFmtId="49" fontId="7" fillId="18" borderId="4" xfId="0" applyNumberFormat="1" applyFont="1" applyFill="1" applyBorder="1" applyAlignment="1">
      <alignment vertical="top"/>
    </xf>
    <xf numFmtId="49" fontId="8" fillId="18" borderId="4" xfId="0" applyNumberFormat="1" applyFont="1" applyFill="1" applyBorder="1" applyAlignment="1">
      <alignment vertical="top"/>
    </xf>
    <xf numFmtId="49" fontId="2" fillId="18" borderId="1" xfId="0" applyNumberFormat="1" applyFont="1" applyFill="1" applyBorder="1" applyAlignment="1">
      <alignment horizontal="center"/>
    </xf>
    <xf numFmtId="49" fontId="0" fillId="18" borderId="0" xfId="0" applyNumberFormat="1" applyFill="1" applyAlignment="1">
      <alignment vertical="top"/>
    </xf>
    <xf numFmtId="49" fontId="9" fillId="18" borderId="0" xfId="0" applyNumberFormat="1" applyFont="1" applyFill="1" applyAlignment="1">
      <alignment vertical="top" wrapText="1"/>
    </xf>
    <xf numFmtId="49" fontId="0" fillId="19" borderId="5" xfId="0" applyNumberFormat="1" applyFill="1" applyBorder="1" applyAlignment="1">
      <alignment horizontal="center" vertical="top"/>
    </xf>
    <xf numFmtId="49" fontId="0" fillId="18" borderId="0" xfId="0" applyNumberFormat="1" applyFill="1" applyAlignment="1">
      <alignment horizontal="left" vertical="top"/>
    </xf>
    <xf numFmtId="49" fontId="0" fillId="18" borderId="6" xfId="0" applyNumberFormat="1" applyFill="1" applyBorder="1" applyAlignment="1">
      <alignment horizontal="left" vertical="top"/>
    </xf>
    <xf numFmtId="49" fontId="10" fillId="18" borderId="6" xfId="0" applyNumberFormat="1" applyFont="1" applyFill="1" applyBorder="1" applyAlignment="1">
      <alignment horizontal="right" vertical="top" wrapText="1"/>
    </xf>
    <xf numFmtId="49" fontId="0" fillId="19" borderId="7" xfId="0" applyNumberFormat="1" applyFill="1" applyBorder="1" applyAlignment="1">
      <alignment horizontal="center" vertical="top"/>
    </xf>
    <xf numFmtId="49" fontId="0" fillId="0" borderId="0" xfId="0" applyNumberFormat="1"/>
    <xf numFmtId="49" fontId="0" fillId="18" borderId="8" xfId="0" applyNumberFormat="1" applyFill="1" applyBorder="1" applyAlignment="1">
      <alignment vertical="top" wrapText="1"/>
    </xf>
    <xf numFmtId="49" fontId="0" fillId="18" borderId="0" xfId="0" applyNumberFormat="1" applyFill="1" applyAlignment="1">
      <alignment vertical="top" wrapText="1"/>
    </xf>
    <xf numFmtId="49" fontId="0" fillId="19" borderId="5" xfId="0" applyNumberFormat="1" applyFill="1" applyBorder="1"/>
    <xf numFmtId="49" fontId="0" fillId="18" borderId="6" xfId="0" applyNumberFormat="1" applyFill="1" applyBorder="1" applyAlignment="1">
      <alignment vertical="top"/>
    </xf>
    <xf numFmtId="49" fontId="10" fillId="18" borderId="9" xfId="0" applyNumberFormat="1" applyFont="1" applyFill="1" applyBorder="1" applyAlignment="1">
      <alignment horizontal="right" vertical="top" wrapText="1"/>
    </xf>
    <xf numFmtId="49" fontId="0" fillId="19" borderId="7" xfId="0" applyNumberFormat="1" applyFill="1" applyBorder="1"/>
    <xf numFmtId="49" fontId="0" fillId="0" borderId="10" xfId="0" applyNumberFormat="1" applyBorder="1" applyAlignment="1">
      <alignment vertical="top"/>
    </xf>
    <xf numFmtId="49" fontId="0" fillId="0" borderId="10" xfId="0" applyNumberFormat="1" applyBorder="1" applyAlignment="1">
      <alignment vertical="top" wrapText="1"/>
    </xf>
    <xf numFmtId="49" fontId="12" fillId="18" borderId="0" xfId="0" applyNumberFormat="1" applyFont="1" applyFill="1" applyAlignment="1">
      <alignment vertical="top"/>
    </xf>
    <xf numFmtId="49" fontId="0" fillId="19" borderId="0" xfId="0" applyNumberFormat="1" applyFill="1"/>
    <xf numFmtId="164" fontId="0" fillId="0" borderId="0" xfId="1" applyNumberFormat="1" applyFont="1"/>
    <xf numFmtId="0" fontId="0" fillId="19" borderId="5" xfId="0" applyFill="1" applyBorder="1" applyAlignment="1">
      <alignment horizontal="center" vertical="top"/>
    </xf>
    <xf numFmtId="49" fontId="10" fillId="18" borderId="0" xfId="0" applyNumberFormat="1" applyFont="1" applyFill="1" applyAlignment="1">
      <alignment vertical="top" wrapText="1"/>
    </xf>
    <xf numFmtId="164" fontId="0" fillId="19" borderId="3" xfId="1" applyNumberFormat="1" applyFont="1" applyFill="1" applyBorder="1" applyAlignment="1">
      <alignment horizontal="center" vertical="top"/>
    </xf>
    <xf numFmtId="164" fontId="0" fillId="0" borderId="0" xfId="0" applyNumberFormat="1"/>
    <xf numFmtId="0" fontId="13" fillId="0" borderId="0" xfId="0" applyFont="1"/>
    <xf numFmtId="0" fontId="15" fillId="0" borderId="0" xfId="0" applyFont="1"/>
    <xf numFmtId="0" fontId="16" fillId="0" borderId="0" xfId="0" applyFont="1" applyAlignment="1">
      <alignment horizontal="fill"/>
    </xf>
    <xf numFmtId="0" fontId="16" fillId="0" borderId="0" xfId="0" applyFont="1"/>
    <xf numFmtId="0" fontId="0" fillId="0" borderId="0" xfId="0" applyAlignment="1">
      <alignment horizontal="fill"/>
    </xf>
    <xf numFmtId="0" fontId="13" fillId="0" borderId="0" xfId="0" applyFont="1" applyAlignment="1">
      <alignment horizontal="fill"/>
    </xf>
    <xf numFmtId="0" fontId="17" fillId="0" borderId="0" xfId="0" applyFont="1" applyAlignment="1">
      <alignment horizontal="fill" vertical="center"/>
    </xf>
    <xf numFmtId="0" fontId="17" fillId="0" borderId="0" xfId="0" applyFont="1" applyAlignment="1">
      <alignment vertical="center"/>
    </xf>
    <xf numFmtId="0" fontId="0" fillId="0" borderId="0" xfId="0" applyAlignment="1">
      <alignment wrapText="1"/>
    </xf>
    <xf numFmtId="0" fontId="17" fillId="0" borderId="0" xfId="0" applyFont="1" applyAlignment="1">
      <alignment horizontal="fill"/>
    </xf>
    <xf numFmtId="0" fontId="17" fillId="0" borderId="0" xfId="0" applyFont="1"/>
    <xf numFmtId="0" fontId="0" fillId="0" borderId="0" xfId="0" applyAlignment="1">
      <alignment horizontal="fill" wrapText="1"/>
    </xf>
    <xf numFmtId="164" fontId="2" fillId="0" borderId="0" xfId="0" applyNumberFormat="1" applyFont="1"/>
    <xf numFmtId="0" fontId="2" fillId="0" borderId="0" xfId="0" applyFont="1" applyAlignment="1">
      <alignment horizontal="center"/>
    </xf>
    <xf numFmtId="2" fontId="2" fillId="0" borderId="0" xfId="0" applyNumberFormat="1" applyFont="1" applyAlignment="1">
      <alignment horizontal="center"/>
    </xf>
    <xf numFmtId="0" fontId="2" fillId="20" borderId="0" xfId="0" applyFont="1" applyFill="1"/>
    <xf numFmtId="0" fontId="2" fillId="21" borderId="0" xfId="0" applyFont="1" applyFill="1"/>
    <xf numFmtId="2" fontId="2" fillId="20" borderId="0" xfId="0" applyNumberFormat="1" applyFont="1" applyFill="1" applyAlignment="1">
      <alignment horizontal="center"/>
    </xf>
    <xf numFmtId="2" fontId="2" fillId="21" borderId="0" xfId="0" applyNumberFormat="1" applyFont="1" applyFill="1" applyAlignment="1">
      <alignment horizontal="center"/>
    </xf>
    <xf numFmtId="2" fontId="2" fillId="22" borderId="0" xfId="0" applyNumberFormat="1" applyFont="1" applyFill="1" applyAlignment="1">
      <alignment horizontal="center"/>
    </xf>
    <xf numFmtId="1" fontId="2" fillId="0" borderId="0" xfId="0" applyNumberFormat="1" applyFont="1" applyAlignment="1">
      <alignment horizontal="center"/>
    </xf>
    <xf numFmtId="2" fontId="2" fillId="20" borderId="0" xfId="0" applyNumberFormat="1" applyFont="1" applyFill="1"/>
    <xf numFmtId="2" fontId="2" fillId="21" borderId="0" xfId="0" applyNumberFormat="1" applyFont="1" applyFill="1"/>
    <xf numFmtId="2" fontId="2" fillId="22" borderId="0" xfId="0" applyNumberFormat="1" applyFont="1" applyFill="1"/>
    <xf numFmtId="0" fontId="2" fillId="20" borderId="0" xfId="0" applyFont="1" applyFill="1" applyAlignment="1">
      <alignment horizontal="center" vertical="center"/>
    </xf>
    <xf numFmtId="165" fontId="2" fillId="20" borderId="0" xfId="0" applyNumberFormat="1" applyFont="1" applyFill="1" applyAlignment="1">
      <alignment horizontal="center" vertical="center"/>
    </xf>
    <xf numFmtId="2" fontId="2" fillId="20" borderId="0" xfId="0" applyNumberFormat="1" applyFont="1" applyFill="1" applyAlignment="1">
      <alignment horizontal="center" vertical="center"/>
    </xf>
    <xf numFmtId="0" fontId="2" fillId="0" borderId="0" xfId="0" applyFont="1" applyAlignment="1">
      <alignment horizontal="center" vertical="center"/>
    </xf>
    <xf numFmtId="0" fontId="2" fillId="21" borderId="0" xfId="0" applyFont="1" applyFill="1" applyAlignment="1">
      <alignment horizontal="center" vertical="center"/>
    </xf>
    <xf numFmtId="2" fontId="2" fillId="21" borderId="0" xfId="0" applyNumberFormat="1" applyFont="1" applyFill="1" applyAlignment="1">
      <alignment horizontal="center" vertical="center"/>
    </xf>
    <xf numFmtId="0" fontId="2" fillId="22" borderId="0" xfId="0" applyFont="1" applyFill="1" applyAlignment="1">
      <alignment horizontal="center" vertical="center"/>
    </xf>
    <xf numFmtId="2" fontId="2" fillId="22" borderId="0" xfId="0" applyNumberFormat="1" applyFont="1" applyFill="1" applyAlignment="1">
      <alignment horizontal="center" vertical="center"/>
    </xf>
    <xf numFmtId="2" fontId="2" fillId="23" borderId="0" xfId="0" applyNumberFormat="1" applyFont="1" applyFill="1" applyAlignment="1">
      <alignment horizontal="center" vertical="center"/>
    </xf>
    <xf numFmtId="0" fontId="0" fillId="21" borderId="0" xfId="0" applyFill="1"/>
    <xf numFmtId="2" fontId="0" fillId="20" borderId="0" xfId="0" applyNumberFormat="1" applyFill="1" applyAlignment="1">
      <alignment horizontal="center"/>
    </xf>
    <xf numFmtId="2" fontId="0" fillId="21" borderId="0" xfId="0" applyNumberFormat="1" applyFill="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0" fillId="20" borderId="0" xfId="0" applyFill="1"/>
    <xf numFmtId="2" fontId="0" fillId="20" borderId="0" xfId="0" applyNumberFormat="1" applyFill="1"/>
    <xf numFmtId="2" fontId="0" fillId="21" borderId="0" xfId="0" applyNumberFormat="1" applyFill="1"/>
    <xf numFmtId="165" fontId="0" fillId="20" borderId="0" xfId="0" applyNumberFormat="1" applyFill="1"/>
    <xf numFmtId="0" fontId="0" fillId="22" borderId="0" xfId="0" applyFill="1"/>
    <xf numFmtId="2" fontId="0" fillId="22" borderId="0" xfId="0" applyNumberFormat="1" applyFill="1"/>
    <xf numFmtId="0" fontId="15" fillId="0" borderId="0" xfId="0" applyFont="1" applyAlignment="1">
      <alignment wrapText="1"/>
    </xf>
    <xf numFmtId="2" fontId="19" fillId="20" borderId="0" xfId="0" applyNumberFormat="1" applyFont="1" applyFill="1"/>
    <xf numFmtId="166" fontId="0" fillId="20" borderId="0" xfId="0" applyNumberFormat="1" applyFill="1"/>
    <xf numFmtId="1" fontId="0" fillId="20" borderId="0" xfId="0" applyNumberFormat="1" applyFill="1"/>
    <xf numFmtId="166" fontId="0" fillId="21" borderId="0" xfId="0" applyNumberFormat="1" applyFill="1"/>
    <xf numFmtId="1" fontId="0" fillId="21" borderId="0" xfId="0" applyNumberFormat="1" applyFill="1"/>
    <xf numFmtId="166" fontId="0" fillId="22" borderId="0" xfId="0" applyNumberFormat="1" applyFill="1"/>
    <xf numFmtId="1" fontId="0" fillId="22" borderId="0" xfId="0" applyNumberFormat="1" applyFill="1"/>
    <xf numFmtId="0" fontId="0" fillId="21" borderId="0" xfId="0" applyFill="1" applyAlignment="1">
      <alignment horizontal="left"/>
    </xf>
    <xf numFmtId="0" fontId="2" fillId="22" borderId="0" xfId="0" applyFont="1" applyFill="1"/>
    <xf numFmtId="2" fontId="0" fillId="24" borderId="0" xfId="0" applyNumberFormat="1" applyFill="1" applyAlignment="1">
      <alignment horizontal="center"/>
    </xf>
    <xf numFmtId="1" fontId="0" fillId="24" borderId="0" xfId="0" applyNumberFormat="1" applyFill="1" applyAlignment="1">
      <alignment horizontal="center"/>
    </xf>
    <xf numFmtId="0" fontId="0" fillId="24" borderId="0" xfId="0" applyFill="1" applyAlignment="1">
      <alignment horizontal="center"/>
    </xf>
    <xf numFmtId="2" fontId="0" fillId="25" borderId="0" xfId="0" applyNumberFormat="1" applyFill="1"/>
    <xf numFmtId="2" fontId="0" fillId="24" borderId="0" xfId="0" applyNumberFormat="1" applyFill="1"/>
    <xf numFmtId="0" fontId="0" fillId="24" borderId="0" xfId="0" applyFill="1"/>
    <xf numFmtId="2" fontId="19" fillId="25" borderId="0" xfId="0" applyNumberFormat="1" applyFont="1" applyFill="1"/>
    <xf numFmtId="166" fontId="0" fillId="25" borderId="0" xfId="0" applyNumberFormat="1" applyFill="1"/>
    <xf numFmtId="1" fontId="0" fillId="25" borderId="0" xfId="0" applyNumberFormat="1" applyFill="1"/>
    <xf numFmtId="165" fontId="0" fillId="24" borderId="0" xfId="0" applyNumberFormat="1" applyFill="1"/>
    <xf numFmtId="1" fontId="0" fillId="24" borderId="0" xfId="0" applyNumberFormat="1" applyFill="1"/>
    <xf numFmtId="166" fontId="0" fillId="24" borderId="0" xfId="0" applyNumberFormat="1" applyFill="1"/>
    <xf numFmtId="2" fontId="0" fillId="22" borderId="0" xfId="0" applyNumberFormat="1" applyFill="1" applyAlignment="1">
      <alignment horizontal="center"/>
    </xf>
    <xf numFmtId="2" fontId="9" fillId="21" borderId="0" xfId="0" applyNumberFormat="1" applyFont="1" applyFill="1" applyAlignment="1">
      <alignment horizontal="center"/>
    </xf>
    <xf numFmtId="2" fontId="0" fillId="23" borderId="0" xfId="0" applyNumberFormat="1" applyFill="1" applyAlignment="1">
      <alignment horizontal="center"/>
    </xf>
    <xf numFmtId="165" fontId="0" fillId="0" borderId="0" xfId="0" applyNumberFormat="1"/>
    <xf numFmtId="0" fontId="2" fillId="0" borderId="0" xfId="0" applyFont="1" applyAlignment="1">
      <alignment horizontal="center" vertical="center"/>
    </xf>
    <xf numFmtId="0" fontId="2" fillId="20" borderId="0" xfId="0" applyFont="1" applyFill="1" applyAlignment="1">
      <alignment horizontal="center"/>
    </xf>
    <xf numFmtId="0" fontId="2" fillId="21" borderId="0" xfId="0" applyFont="1" applyFill="1" applyAlignment="1">
      <alignment horizontal="center"/>
    </xf>
    <xf numFmtId="0" fontId="2" fillId="0" borderId="0" xfId="0" applyFont="1" applyAlignment="1">
      <alignment horizontal="center"/>
    </xf>
    <xf numFmtId="2" fontId="2" fillId="0" borderId="0" xfId="0" applyNumberFormat="1"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IUSBifactorReview/Shared%20Documents/General/Excel%20files%20-%20data%20analysis/Bifactor%20models%20%20-%2025%2005%20Updated%20with%20additional%20pap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IUSBifactorReview/Shared%20Documents/General/Excel%20files%20-%20data%20analysis/COSMIN%20reliability%2021-0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uren - Other extracted data"/>
      <sheetName val="Chloe - Other extracted data"/>
      <sheetName val="Comparison - Other extracted "/>
      <sheetName val="Other extracted data"/>
      <sheetName val="Lauren - loadings"/>
      <sheetName val="Comparison - loadings"/>
      <sheetName val="Chloe loadings "/>
      <sheetName val="Summary"/>
      <sheetName val="FINAL - resolved factor loading"/>
      <sheetName val="Loadings resolved - weighted M"/>
      <sheetName val="Weighted mean - calcs"/>
      <sheetName val="Sheet1"/>
    </sheetNames>
    <sheetDataSet>
      <sheetData sheetId="0" refreshError="1"/>
      <sheetData sheetId="1" refreshError="1"/>
      <sheetData sheetId="2" refreshError="1"/>
      <sheetData sheetId="3">
        <row r="5">
          <cell r="A5" t="str">
            <v>Bottesi 2019</v>
          </cell>
        </row>
        <row r="6">
          <cell r="A6" t="str">
            <v>Bottesi 2019</v>
          </cell>
        </row>
        <row r="7">
          <cell r="A7" t="str">
            <v>Cornacchio 2018</v>
          </cell>
        </row>
        <row r="8">
          <cell r="A8" t="str">
            <v>Cornacchio 2018</v>
          </cell>
        </row>
        <row r="9">
          <cell r="A9" t="str">
            <v>Huntley 2020</v>
          </cell>
        </row>
        <row r="10">
          <cell r="A10" t="str">
            <v>Huntley 2020</v>
          </cell>
        </row>
        <row r="11">
          <cell r="A11" t="str">
            <v>Lauriola 2016</v>
          </cell>
        </row>
        <row r="12">
          <cell r="A12" t="str">
            <v>Lauriola 2016</v>
          </cell>
        </row>
        <row r="13">
          <cell r="A13" t="str">
            <v>Lauriola 2016</v>
          </cell>
        </row>
        <row r="14">
          <cell r="A14" t="str">
            <v>Saulnier 2019</v>
          </cell>
        </row>
        <row r="15">
          <cell r="A15" t="str">
            <v>Shihata 2018</v>
          </cell>
        </row>
        <row r="16">
          <cell r="A16" t="str">
            <v>Shihata 2018</v>
          </cell>
        </row>
        <row r="17">
          <cell r="A17" t="str">
            <v>Wilson 2020</v>
          </cell>
        </row>
        <row r="18">
          <cell r="A18" t="str">
            <v>Wilson 2020</v>
          </cell>
        </row>
        <row r="19">
          <cell r="A19" t="str">
            <v>Wilson 2020</v>
          </cell>
        </row>
        <row r="20">
          <cell r="A20" t="str">
            <v>Yao 2020</v>
          </cell>
        </row>
        <row r="21">
          <cell r="A21" t="str">
            <v>Yao 2020</v>
          </cell>
        </row>
        <row r="22">
          <cell r="A22" t="str">
            <v>Hale 2016</v>
          </cell>
        </row>
      </sheetData>
      <sheetData sheetId="4" refreshError="1"/>
      <sheetData sheetId="5" refreshError="1"/>
      <sheetData sheetId="6" refreshError="1"/>
      <sheetData sheetId="7">
        <row r="2">
          <cell r="B2">
            <v>1</v>
          </cell>
        </row>
        <row r="4">
          <cell r="B4">
            <v>3</v>
          </cell>
        </row>
        <row r="5">
          <cell r="B5">
            <v>4</v>
          </cell>
        </row>
        <row r="6">
          <cell r="B6">
            <v>5</v>
          </cell>
        </row>
        <row r="7">
          <cell r="B7">
            <v>6</v>
          </cell>
        </row>
        <row r="8">
          <cell r="B8">
            <v>7</v>
          </cell>
        </row>
        <row r="11">
          <cell r="B11">
            <v>10</v>
          </cell>
        </row>
        <row r="12">
          <cell r="B12">
            <v>11</v>
          </cell>
        </row>
        <row r="13">
          <cell r="B13">
            <v>12</v>
          </cell>
        </row>
        <row r="16">
          <cell r="B16">
            <v>15</v>
          </cell>
        </row>
        <row r="17">
          <cell r="B17">
            <v>16</v>
          </cell>
        </row>
        <row r="19">
          <cell r="B19">
            <v>18</v>
          </cell>
        </row>
        <row r="20">
          <cell r="B20">
            <v>19</v>
          </cell>
        </row>
        <row r="21">
          <cell r="B21">
            <v>20</v>
          </cell>
        </row>
      </sheetData>
      <sheetData sheetId="8">
        <row r="4">
          <cell r="C4">
            <v>0.746</v>
          </cell>
          <cell r="D4">
            <v>-0.182</v>
          </cell>
          <cell r="F4">
            <v>758</v>
          </cell>
          <cell r="H4">
            <v>0.64</v>
          </cell>
          <cell r="I4">
            <v>-0.22</v>
          </cell>
          <cell r="K4">
            <v>354</v>
          </cell>
          <cell r="M4">
            <v>0.9</v>
          </cell>
          <cell r="N4">
            <v>-0.18</v>
          </cell>
          <cell r="P4">
            <v>353</v>
          </cell>
          <cell r="R4">
            <v>0.78</v>
          </cell>
          <cell r="S4">
            <v>0.19</v>
          </cell>
          <cell r="U4">
            <v>288</v>
          </cell>
          <cell r="W4">
            <v>0.77</v>
          </cell>
          <cell r="X4">
            <v>-0.08</v>
          </cell>
          <cell r="Z4">
            <v>463</v>
          </cell>
          <cell r="AB4">
            <v>0.8</v>
          </cell>
          <cell r="AC4">
            <v>-0.51</v>
          </cell>
          <cell r="AE4">
            <v>609</v>
          </cell>
          <cell r="AG4">
            <v>0.72</v>
          </cell>
          <cell r="AH4">
            <v>0.17</v>
          </cell>
          <cell r="AJ4">
            <v>506</v>
          </cell>
          <cell r="AL4">
            <v>0.78</v>
          </cell>
          <cell r="AO4">
            <v>524</v>
          </cell>
          <cell r="AQ4">
            <v>0.66</v>
          </cell>
          <cell r="AR4">
            <v>0.23</v>
          </cell>
          <cell r="AT4">
            <v>212</v>
          </cell>
          <cell r="AV4">
            <v>0.84</v>
          </cell>
          <cell r="AW4">
            <v>8.9999999999999993E-3</v>
          </cell>
          <cell r="AY4">
            <v>374</v>
          </cell>
          <cell r="BA4">
            <v>0.77</v>
          </cell>
          <cell r="BB4">
            <v>-0.17</v>
          </cell>
          <cell r="BD4">
            <v>663</v>
          </cell>
          <cell r="BF4">
            <v>0.67</v>
          </cell>
          <cell r="BG4">
            <v>-0.1</v>
          </cell>
          <cell r="BI4">
            <v>696</v>
          </cell>
          <cell r="BK4">
            <v>0.8</v>
          </cell>
          <cell r="BL4">
            <v>4.0000000000000001E-3</v>
          </cell>
          <cell r="BN4">
            <v>706</v>
          </cell>
          <cell r="BP4">
            <v>0.52</v>
          </cell>
          <cell r="BQ4">
            <v>0.19</v>
          </cell>
          <cell r="BS4">
            <v>220</v>
          </cell>
        </row>
        <row r="5">
          <cell r="C5">
            <v>0.67700000000000005</v>
          </cell>
          <cell r="D5">
            <v>-0.16600000000000001</v>
          </cell>
          <cell r="H5">
            <v>0.66</v>
          </cell>
          <cell r="I5">
            <v>0.03</v>
          </cell>
          <cell r="K5">
            <v>354</v>
          </cell>
          <cell r="M5">
            <v>0.83</v>
          </cell>
          <cell r="N5">
            <v>0.08</v>
          </cell>
          <cell r="P5">
            <v>353</v>
          </cell>
          <cell r="R5">
            <v>0.72</v>
          </cell>
          <cell r="S5">
            <v>0.41</v>
          </cell>
          <cell r="U5">
            <v>288</v>
          </cell>
          <cell r="W5">
            <v>0.62</v>
          </cell>
          <cell r="X5">
            <v>0.2</v>
          </cell>
          <cell r="Z5">
            <v>463</v>
          </cell>
          <cell r="AB5">
            <v>0.68</v>
          </cell>
          <cell r="AC5">
            <v>0.01</v>
          </cell>
          <cell r="AE5">
            <v>609</v>
          </cell>
          <cell r="AG5">
            <v>0.56999999999999995</v>
          </cell>
          <cell r="AH5">
            <v>0.94</v>
          </cell>
          <cell r="AJ5">
            <v>506</v>
          </cell>
          <cell r="AL5">
            <v>0.73</v>
          </cell>
          <cell r="AO5">
            <v>524</v>
          </cell>
          <cell r="AQ5">
            <v>0.69</v>
          </cell>
          <cell r="AR5">
            <v>0.24</v>
          </cell>
          <cell r="AT5">
            <v>212</v>
          </cell>
          <cell r="AV5">
            <v>0.76</v>
          </cell>
          <cell r="AW5">
            <v>0.12</v>
          </cell>
          <cell r="AY5">
            <v>374</v>
          </cell>
          <cell r="BA5">
            <v>0.75</v>
          </cell>
          <cell r="BB5">
            <v>0.02</v>
          </cell>
          <cell r="BD5">
            <v>663</v>
          </cell>
          <cell r="BF5">
            <v>0.6</v>
          </cell>
          <cell r="BG5">
            <v>-0.03</v>
          </cell>
          <cell r="BI5">
            <v>696</v>
          </cell>
          <cell r="BK5">
            <v>0.69</v>
          </cell>
          <cell r="BL5">
            <v>0</v>
          </cell>
          <cell r="BN5">
            <v>706</v>
          </cell>
          <cell r="BP5">
            <v>0.59</v>
          </cell>
          <cell r="BQ5">
            <v>0.06</v>
          </cell>
          <cell r="BS5">
            <v>220</v>
          </cell>
        </row>
        <row r="6">
          <cell r="C6">
            <v>0.34499999999999997</v>
          </cell>
          <cell r="D6">
            <v>0.38</v>
          </cell>
          <cell r="H6">
            <v>0.56999999999999995</v>
          </cell>
          <cell r="I6">
            <v>7.0000000000000007E-2</v>
          </cell>
          <cell r="K6">
            <v>354</v>
          </cell>
          <cell r="M6">
            <v>0.73</v>
          </cell>
          <cell r="N6">
            <v>0.31</v>
          </cell>
          <cell r="P6">
            <v>353</v>
          </cell>
          <cell r="R6">
            <v>0.56999999999999995</v>
          </cell>
          <cell r="S6">
            <v>0.32</v>
          </cell>
          <cell r="U6">
            <v>288</v>
          </cell>
          <cell r="W6">
            <v>0.6</v>
          </cell>
          <cell r="X6">
            <v>0.45</v>
          </cell>
          <cell r="Z6">
            <v>463</v>
          </cell>
          <cell r="AB6">
            <v>0.49</v>
          </cell>
          <cell r="AC6">
            <v>0.13</v>
          </cell>
          <cell r="AE6">
            <v>609</v>
          </cell>
          <cell r="AG6">
            <v>0.7</v>
          </cell>
          <cell r="AH6">
            <v>7.0000000000000007E-2</v>
          </cell>
          <cell r="AJ6">
            <v>506</v>
          </cell>
          <cell r="AL6">
            <v>0.76</v>
          </cell>
          <cell r="AO6">
            <v>524</v>
          </cell>
          <cell r="AQ6">
            <v>0.67</v>
          </cell>
          <cell r="AR6">
            <v>0.23</v>
          </cell>
          <cell r="AT6">
            <v>212</v>
          </cell>
          <cell r="AV6">
            <v>0.64</v>
          </cell>
          <cell r="AW6">
            <v>0.67</v>
          </cell>
          <cell r="AY6">
            <v>374</v>
          </cell>
          <cell r="BA6">
            <v>0.73</v>
          </cell>
          <cell r="BB6">
            <v>0.05</v>
          </cell>
          <cell r="BD6">
            <v>663</v>
          </cell>
          <cell r="BF6">
            <v>0.12</v>
          </cell>
          <cell r="BG6">
            <v>0.48</v>
          </cell>
          <cell r="BI6">
            <v>696</v>
          </cell>
          <cell r="BK6">
            <v>0.16</v>
          </cell>
          <cell r="BL6">
            <v>0.28000000000000003</v>
          </cell>
          <cell r="BN6">
            <v>706</v>
          </cell>
          <cell r="BP6">
            <v>0.41</v>
          </cell>
          <cell r="BQ6">
            <v>0.12</v>
          </cell>
          <cell r="BS6">
            <v>220</v>
          </cell>
        </row>
        <row r="7">
          <cell r="C7">
            <v>0.46600000000000003</v>
          </cell>
          <cell r="D7">
            <v>0.14699999999999999</v>
          </cell>
          <cell r="H7">
            <v>0.49</v>
          </cell>
          <cell r="I7">
            <v>0.1</v>
          </cell>
          <cell r="K7">
            <v>354</v>
          </cell>
          <cell r="M7">
            <v>0.83</v>
          </cell>
          <cell r="N7">
            <v>0.06</v>
          </cell>
          <cell r="P7">
            <v>353</v>
          </cell>
          <cell r="R7">
            <v>0.78</v>
          </cell>
          <cell r="S7">
            <v>0.06</v>
          </cell>
          <cell r="U7">
            <v>288</v>
          </cell>
          <cell r="W7">
            <v>0.81</v>
          </cell>
          <cell r="X7">
            <v>0.01</v>
          </cell>
          <cell r="Z7">
            <v>463</v>
          </cell>
          <cell r="AB7">
            <v>0.36</v>
          </cell>
          <cell r="AC7">
            <v>0.03</v>
          </cell>
          <cell r="AE7">
            <v>609</v>
          </cell>
          <cell r="AG7">
            <v>0.82</v>
          </cell>
          <cell r="AH7">
            <v>-0.03</v>
          </cell>
          <cell r="AJ7">
            <v>506</v>
          </cell>
          <cell r="AL7">
            <v>0.77</v>
          </cell>
          <cell r="AO7">
            <v>524</v>
          </cell>
          <cell r="AQ7">
            <v>0.7</v>
          </cell>
          <cell r="AR7">
            <v>0.24</v>
          </cell>
          <cell r="AT7">
            <v>212</v>
          </cell>
          <cell r="AV7">
            <v>0.69</v>
          </cell>
          <cell r="AW7">
            <v>0.28000000000000003</v>
          </cell>
          <cell r="AY7">
            <v>374</v>
          </cell>
          <cell r="BA7">
            <v>0.78</v>
          </cell>
          <cell r="BB7">
            <v>-0.12</v>
          </cell>
          <cell r="BD7">
            <v>663</v>
          </cell>
          <cell r="BF7">
            <v>0.44</v>
          </cell>
          <cell r="BG7">
            <v>0.18</v>
          </cell>
          <cell r="BI7">
            <v>696</v>
          </cell>
          <cell r="BK7">
            <v>0.5</v>
          </cell>
          <cell r="BL7">
            <v>0.09</v>
          </cell>
          <cell r="BN7">
            <v>706</v>
          </cell>
          <cell r="BP7">
            <v>0.57999999999999996</v>
          </cell>
          <cell r="BQ7">
            <v>0.01</v>
          </cell>
          <cell r="BS7">
            <v>220</v>
          </cell>
        </row>
        <row r="8">
          <cell r="C8">
            <v>0.61199999999999999</v>
          </cell>
          <cell r="D8">
            <v>0.36199999999999999</v>
          </cell>
          <cell r="H8">
            <v>0.72</v>
          </cell>
          <cell r="I8">
            <v>0.2</v>
          </cell>
          <cell r="K8">
            <v>354</v>
          </cell>
          <cell r="M8">
            <v>0.7</v>
          </cell>
          <cell r="N8">
            <v>0.34</v>
          </cell>
          <cell r="P8">
            <v>353</v>
          </cell>
          <cell r="R8">
            <v>0.76</v>
          </cell>
          <cell r="S8">
            <v>0.27</v>
          </cell>
          <cell r="U8">
            <v>288</v>
          </cell>
          <cell r="W8">
            <v>0.7</v>
          </cell>
          <cell r="X8">
            <v>0.48</v>
          </cell>
          <cell r="Z8">
            <v>463</v>
          </cell>
          <cell r="AB8">
            <v>0.65</v>
          </cell>
          <cell r="AC8">
            <v>0.25</v>
          </cell>
          <cell r="AE8">
            <v>609</v>
          </cell>
          <cell r="AG8">
            <v>0.69</v>
          </cell>
          <cell r="AH8">
            <v>0.1</v>
          </cell>
          <cell r="AJ8">
            <v>506</v>
          </cell>
          <cell r="AL8">
            <v>0.76</v>
          </cell>
          <cell r="AO8">
            <v>524</v>
          </cell>
          <cell r="AQ8">
            <v>0.67</v>
          </cell>
          <cell r="AR8">
            <v>0.23</v>
          </cell>
          <cell r="AT8">
            <v>212</v>
          </cell>
          <cell r="AV8">
            <v>0.73</v>
          </cell>
          <cell r="AW8">
            <v>0.26</v>
          </cell>
          <cell r="AY8">
            <v>374</v>
          </cell>
          <cell r="BA8">
            <v>0.68</v>
          </cell>
          <cell r="BB8">
            <v>7.0000000000000007E-2</v>
          </cell>
          <cell r="BD8">
            <v>663</v>
          </cell>
          <cell r="BF8">
            <v>0.35</v>
          </cell>
          <cell r="BG8">
            <v>0.3</v>
          </cell>
          <cell r="BI8">
            <v>696</v>
          </cell>
          <cell r="BK8">
            <v>0.5</v>
          </cell>
          <cell r="BL8">
            <v>0.28000000000000003</v>
          </cell>
          <cell r="BN8">
            <v>706</v>
          </cell>
          <cell r="BP8">
            <v>0.65</v>
          </cell>
          <cell r="BQ8">
            <v>-0.6</v>
          </cell>
          <cell r="BS8">
            <v>220</v>
          </cell>
        </row>
        <row r="9">
          <cell r="C9">
            <v>0.78</v>
          </cell>
          <cell r="D9">
            <v>0.157</v>
          </cell>
          <cell r="H9">
            <v>0.77</v>
          </cell>
          <cell r="I9">
            <v>-0.45</v>
          </cell>
          <cell r="K9">
            <v>354</v>
          </cell>
          <cell r="M9">
            <v>0.87</v>
          </cell>
          <cell r="N9">
            <v>0.03</v>
          </cell>
          <cell r="P9">
            <v>353</v>
          </cell>
          <cell r="R9">
            <v>0.73</v>
          </cell>
          <cell r="S9">
            <v>0.33</v>
          </cell>
          <cell r="U9">
            <v>288</v>
          </cell>
          <cell r="W9">
            <v>0.79</v>
          </cell>
          <cell r="X9">
            <v>0.2</v>
          </cell>
          <cell r="Z9">
            <v>463</v>
          </cell>
          <cell r="AB9">
            <v>0.62</v>
          </cell>
          <cell r="AC9">
            <v>0.13</v>
          </cell>
          <cell r="AE9">
            <v>609</v>
          </cell>
          <cell r="AG9">
            <v>0.81</v>
          </cell>
          <cell r="AH9">
            <v>-0.04</v>
          </cell>
          <cell r="AJ9">
            <v>506</v>
          </cell>
          <cell r="AL9">
            <v>0.8</v>
          </cell>
          <cell r="AO9">
            <v>524</v>
          </cell>
          <cell r="AQ9">
            <v>0.71</v>
          </cell>
          <cell r="AR9">
            <v>0.24</v>
          </cell>
          <cell r="AT9">
            <v>212</v>
          </cell>
          <cell r="AV9">
            <v>0.77</v>
          </cell>
          <cell r="AW9">
            <v>0.22</v>
          </cell>
          <cell r="AY9">
            <v>374</v>
          </cell>
          <cell r="BA9">
            <v>0.77</v>
          </cell>
          <cell r="BB9">
            <v>0.06</v>
          </cell>
          <cell r="BD9">
            <v>663</v>
          </cell>
          <cell r="BF9">
            <v>0.21</v>
          </cell>
          <cell r="BG9">
            <v>0.03</v>
          </cell>
          <cell r="BI9">
            <v>696</v>
          </cell>
          <cell r="BK9">
            <v>0.42</v>
          </cell>
          <cell r="BL9">
            <v>0.12</v>
          </cell>
          <cell r="BN9">
            <v>706</v>
          </cell>
          <cell r="BP9">
            <v>0.48</v>
          </cell>
          <cell r="BQ9">
            <v>0.22</v>
          </cell>
          <cell r="BS9">
            <v>220</v>
          </cell>
        </row>
        <row r="10">
          <cell r="C10">
            <v>0.69799999999999995</v>
          </cell>
          <cell r="D10">
            <v>0.49099999999999999</v>
          </cell>
          <cell r="H10">
            <v>0.57999999999999996</v>
          </cell>
          <cell r="I10">
            <v>0.28000000000000003</v>
          </cell>
          <cell r="K10">
            <v>354</v>
          </cell>
          <cell r="M10">
            <v>0.62</v>
          </cell>
          <cell r="N10">
            <v>0.45</v>
          </cell>
          <cell r="P10">
            <v>353</v>
          </cell>
          <cell r="R10">
            <v>0.64</v>
          </cell>
          <cell r="S10">
            <v>0.28999999999999998</v>
          </cell>
          <cell r="U10">
            <v>288</v>
          </cell>
          <cell r="W10">
            <v>0.61</v>
          </cell>
          <cell r="X10">
            <v>0.48</v>
          </cell>
          <cell r="Z10">
            <v>463</v>
          </cell>
          <cell r="AB10">
            <v>0.64</v>
          </cell>
          <cell r="AC10">
            <v>0.27</v>
          </cell>
          <cell r="AE10">
            <v>609</v>
          </cell>
          <cell r="AG10">
            <v>0.69</v>
          </cell>
          <cell r="AH10">
            <v>0.18</v>
          </cell>
          <cell r="AJ10">
            <v>506</v>
          </cell>
          <cell r="AL10">
            <v>0.72</v>
          </cell>
          <cell r="AO10">
            <v>524</v>
          </cell>
          <cell r="AQ10">
            <v>0.7</v>
          </cell>
          <cell r="AR10">
            <v>0.24</v>
          </cell>
          <cell r="AT10">
            <v>212</v>
          </cell>
          <cell r="AV10">
            <v>0.68</v>
          </cell>
          <cell r="AW10">
            <v>0.17</v>
          </cell>
          <cell r="AY10">
            <v>374</v>
          </cell>
          <cell r="BA10">
            <v>0.75</v>
          </cell>
          <cell r="BB10">
            <v>0.66</v>
          </cell>
          <cell r="BD10">
            <v>663</v>
          </cell>
          <cell r="BF10">
            <v>0.27</v>
          </cell>
          <cell r="BG10">
            <v>0.21</v>
          </cell>
          <cell r="BI10">
            <v>696</v>
          </cell>
          <cell r="BK10">
            <v>0.4</v>
          </cell>
          <cell r="BL10">
            <v>0.76</v>
          </cell>
          <cell r="BN10">
            <v>706</v>
          </cell>
          <cell r="BP10">
            <v>0.4</v>
          </cell>
          <cell r="BQ10">
            <v>-0.27</v>
          </cell>
          <cell r="BS10">
            <v>220</v>
          </cell>
        </row>
        <row r="11">
          <cell r="C11" t="str">
            <v xml:space="preserve"> - </v>
          </cell>
        </row>
        <row r="12">
          <cell r="C12">
            <v>0.61499999999999999</v>
          </cell>
          <cell r="E12">
            <v>0.53300000000000003</v>
          </cell>
          <cell r="H12">
            <v>0.67</v>
          </cell>
          <cell r="J12">
            <v>0.18</v>
          </cell>
          <cell r="K12">
            <v>354</v>
          </cell>
          <cell r="M12">
            <v>0.82</v>
          </cell>
          <cell r="O12">
            <v>0.24</v>
          </cell>
          <cell r="P12">
            <v>353</v>
          </cell>
          <cell r="R12">
            <v>0.39</v>
          </cell>
          <cell r="T12">
            <v>-0.27</v>
          </cell>
          <cell r="U12">
            <v>288</v>
          </cell>
          <cell r="W12">
            <v>0.7</v>
          </cell>
          <cell r="Y12">
            <v>0.17</v>
          </cell>
          <cell r="Z12">
            <v>463</v>
          </cell>
          <cell r="AB12">
            <v>0.56000000000000005</v>
          </cell>
          <cell r="AD12">
            <v>0.42</v>
          </cell>
          <cell r="AE12">
            <v>609</v>
          </cell>
          <cell r="AG12">
            <v>0.79</v>
          </cell>
          <cell r="AI12">
            <v>0.15</v>
          </cell>
          <cell r="AJ12">
            <v>506</v>
          </cell>
          <cell r="AL12">
            <v>0.72</v>
          </cell>
          <cell r="AN12">
            <v>0.25</v>
          </cell>
          <cell r="AO12">
            <v>524</v>
          </cell>
          <cell r="AQ12">
            <v>0.62</v>
          </cell>
          <cell r="AS12">
            <v>0.32</v>
          </cell>
          <cell r="AT12">
            <v>212</v>
          </cell>
          <cell r="AV12">
            <v>0.79</v>
          </cell>
          <cell r="AX12">
            <v>0.34</v>
          </cell>
          <cell r="AY12">
            <v>374</v>
          </cell>
          <cell r="BA12">
            <v>0.72</v>
          </cell>
          <cell r="BC12">
            <v>0.24</v>
          </cell>
          <cell r="BD12">
            <v>663</v>
          </cell>
          <cell r="BF12">
            <v>0.71</v>
          </cell>
          <cell r="BH12">
            <v>-0.23</v>
          </cell>
          <cell r="BI12">
            <v>696</v>
          </cell>
          <cell r="BK12">
            <v>0.78</v>
          </cell>
          <cell r="BM12">
            <v>-0.17</v>
          </cell>
          <cell r="BN12">
            <v>706</v>
          </cell>
          <cell r="BP12">
            <v>0.44</v>
          </cell>
          <cell r="BR12">
            <v>0.3</v>
          </cell>
          <cell r="BS12">
            <v>220</v>
          </cell>
        </row>
        <row r="13">
          <cell r="C13">
            <v>0.59299999999999997</v>
          </cell>
          <cell r="E13">
            <v>0.66600000000000004</v>
          </cell>
          <cell r="H13">
            <v>0.63</v>
          </cell>
          <cell r="J13">
            <v>0.26</v>
          </cell>
          <cell r="K13">
            <v>354</v>
          </cell>
          <cell r="M13">
            <v>0.72</v>
          </cell>
          <cell r="O13">
            <v>0.5</v>
          </cell>
          <cell r="P13">
            <v>353</v>
          </cell>
          <cell r="R13">
            <v>0.68</v>
          </cell>
          <cell r="T13">
            <v>0.49</v>
          </cell>
          <cell r="U13">
            <v>288</v>
          </cell>
          <cell r="W13">
            <v>0.7</v>
          </cell>
          <cell r="Y13">
            <v>0.49</v>
          </cell>
          <cell r="Z13">
            <v>463</v>
          </cell>
          <cell r="AB13">
            <v>0.45</v>
          </cell>
          <cell r="AD13">
            <v>0.67</v>
          </cell>
          <cell r="AE13">
            <v>609</v>
          </cell>
          <cell r="AG13">
            <v>0.72</v>
          </cell>
          <cell r="AI13">
            <v>0.55000000000000004</v>
          </cell>
          <cell r="AJ13">
            <v>506</v>
          </cell>
          <cell r="AL13">
            <v>0.61</v>
          </cell>
          <cell r="AN13">
            <v>0.72</v>
          </cell>
          <cell r="AO13">
            <v>524</v>
          </cell>
          <cell r="AQ13">
            <v>0.66</v>
          </cell>
          <cell r="AS13">
            <v>0.34</v>
          </cell>
          <cell r="AT13">
            <v>212</v>
          </cell>
          <cell r="AV13">
            <v>0.69</v>
          </cell>
          <cell r="AX13">
            <v>0.55000000000000004</v>
          </cell>
          <cell r="AY13">
            <v>374</v>
          </cell>
          <cell r="BA13">
            <v>0.71</v>
          </cell>
          <cell r="BC13">
            <v>0.55000000000000004</v>
          </cell>
          <cell r="BD13">
            <v>663</v>
          </cell>
          <cell r="BF13">
            <v>0.55000000000000004</v>
          </cell>
          <cell r="BH13">
            <v>0.4</v>
          </cell>
          <cell r="BI13">
            <v>696</v>
          </cell>
          <cell r="BK13">
            <v>0.68</v>
          </cell>
          <cell r="BM13">
            <v>0.21</v>
          </cell>
          <cell r="BN13">
            <v>706</v>
          </cell>
          <cell r="BP13">
            <v>0.56999999999999995</v>
          </cell>
          <cell r="BR13">
            <v>0.4</v>
          </cell>
          <cell r="BS13">
            <v>220</v>
          </cell>
        </row>
        <row r="14">
          <cell r="C14">
            <v>0.66100000000000003</v>
          </cell>
          <cell r="E14">
            <v>0.436</v>
          </cell>
          <cell r="H14">
            <v>0.62</v>
          </cell>
          <cell r="J14">
            <v>0.32</v>
          </cell>
          <cell r="K14">
            <v>354</v>
          </cell>
          <cell r="M14">
            <v>0.79</v>
          </cell>
          <cell r="O14">
            <v>0.44</v>
          </cell>
          <cell r="P14">
            <v>353</v>
          </cell>
          <cell r="R14">
            <v>0.7</v>
          </cell>
          <cell r="T14">
            <v>0.44</v>
          </cell>
          <cell r="U14">
            <v>288</v>
          </cell>
          <cell r="W14">
            <v>0.69</v>
          </cell>
          <cell r="Y14">
            <v>0.6</v>
          </cell>
          <cell r="Z14">
            <v>463</v>
          </cell>
          <cell r="AB14">
            <v>0.47</v>
          </cell>
          <cell r="AD14">
            <v>0.5</v>
          </cell>
          <cell r="AE14">
            <v>609</v>
          </cell>
          <cell r="AG14">
            <v>0.74</v>
          </cell>
          <cell r="AI14">
            <v>0.44</v>
          </cell>
          <cell r="AJ14">
            <v>506</v>
          </cell>
          <cell r="AL14">
            <v>0.7</v>
          </cell>
          <cell r="AN14">
            <v>0.56000000000000005</v>
          </cell>
          <cell r="AO14">
            <v>524</v>
          </cell>
          <cell r="AQ14">
            <v>0.67</v>
          </cell>
          <cell r="AS14">
            <v>0.35</v>
          </cell>
          <cell r="AT14">
            <v>212</v>
          </cell>
          <cell r="AV14">
            <v>0.77</v>
          </cell>
          <cell r="AX14">
            <v>0.4</v>
          </cell>
          <cell r="AY14">
            <v>374</v>
          </cell>
          <cell r="BA14">
            <v>0.7</v>
          </cell>
          <cell r="BC14">
            <v>0.56000000000000005</v>
          </cell>
          <cell r="BD14">
            <v>663</v>
          </cell>
          <cell r="BF14">
            <v>0.56000000000000005</v>
          </cell>
          <cell r="BH14">
            <v>0.36</v>
          </cell>
          <cell r="BI14">
            <v>696</v>
          </cell>
          <cell r="BK14">
            <v>0.7</v>
          </cell>
          <cell r="BM14">
            <v>0.2</v>
          </cell>
          <cell r="BN14">
            <v>706</v>
          </cell>
          <cell r="BP14">
            <v>0.57999999999999996</v>
          </cell>
          <cell r="BR14">
            <v>0.37</v>
          </cell>
          <cell r="BS14">
            <v>220</v>
          </cell>
        </row>
        <row r="15">
          <cell r="C15">
            <v>0.57999999999999996</v>
          </cell>
          <cell r="E15">
            <v>0.57999999999999996</v>
          </cell>
          <cell r="H15">
            <v>0.68</v>
          </cell>
          <cell r="J15">
            <v>0.3</v>
          </cell>
          <cell r="K15">
            <v>354</v>
          </cell>
          <cell r="M15">
            <v>0.74</v>
          </cell>
          <cell r="O15">
            <v>0.51</v>
          </cell>
          <cell r="P15">
            <v>353</v>
          </cell>
          <cell r="R15">
            <v>0.69</v>
          </cell>
          <cell r="T15">
            <v>0.35</v>
          </cell>
          <cell r="U15">
            <v>288</v>
          </cell>
          <cell r="W15">
            <v>0.71</v>
          </cell>
          <cell r="Y15">
            <v>0.28000000000000003</v>
          </cell>
          <cell r="Z15">
            <v>463</v>
          </cell>
          <cell r="AB15">
            <v>0.46</v>
          </cell>
          <cell r="AD15">
            <v>0.59</v>
          </cell>
          <cell r="AE15">
            <v>609</v>
          </cell>
          <cell r="AG15">
            <v>0.72</v>
          </cell>
          <cell r="AI15">
            <v>0.34</v>
          </cell>
          <cell r="AJ15">
            <v>506</v>
          </cell>
          <cell r="AL15">
            <v>0.69</v>
          </cell>
          <cell r="AN15">
            <v>0.38</v>
          </cell>
          <cell r="AO15">
            <v>524</v>
          </cell>
          <cell r="AQ15">
            <v>0.66</v>
          </cell>
          <cell r="AS15">
            <v>0.34</v>
          </cell>
          <cell r="AT15">
            <v>212</v>
          </cell>
          <cell r="AV15">
            <v>0.66</v>
          </cell>
          <cell r="AX15">
            <v>0.45</v>
          </cell>
          <cell r="AY15">
            <v>374</v>
          </cell>
          <cell r="BA15">
            <v>0.68</v>
          </cell>
          <cell r="BC15">
            <v>0.38</v>
          </cell>
          <cell r="BD15">
            <v>663</v>
          </cell>
          <cell r="BF15">
            <v>0.4</v>
          </cell>
          <cell r="BH15">
            <v>0.35</v>
          </cell>
          <cell r="BI15">
            <v>696</v>
          </cell>
          <cell r="BK15">
            <v>0.57999999999999996</v>
          </cell>
          <cell r="BM15">
            <v>0.22</v>
          </cell>
          <cell r="BN15">
            <v>706</v>
          </cell>
          <cell r="BP15">
            <v>0.46</v>
          </cell>
          <cell r="BR15">
            <v>0.48</v>
          </cell>
          <cell r="BS15">
            <v>220</v>
          </cell>
        </row>
        <row r="16">
          <cell r="C16">
            <v>0.63300000000000001</v>
          </cell>
          <cell r="E16">
            <v>0.39200000000000002</v>
          </cell>
          <cell r="H16">
            <v>0.72</v>
          </cell>
          <cell r="J16">
            <v>-0.06</v>
          </cell>
          <cell r="K16">
            <v>354</v>
          </cell>
          <cell r="M16">
            <v>0.76</v>
          </cell>
          <cell r="O16">
            <v>0.39</v>
          </cell>
          <cell r="P16">
            <v>353</v>
          </cell>
          <cell r="R16">
            <v>0.75</v>
          </cell>
          <cell r="T16">
            <v>0.24</v>
          </cell>
          <cell r="U16">
            <v>288</v>
          </cell>
          <cell r="W16">
            <v>0.8</v>
          </cell>
          <cell r="Y16">
            <v>0.1</v>
          </cell>
          <cell r="Z16">
            <v>463</v>
          </cell>
          <cell r="AB16">
            <v>0.52</v>
          </cell>
          <cell r="AD16">
            <v>0.36</v>
          </cell>
          <cell r="AE16">
            <v>609</v>
          </cell>
          <cell r="AG16">
            <v>0.82</v>
          </cell>
          <cell r="AI16">
            <v>0.16</v>
          </cell>
          <cell r="AJ16">
            <v>506</v>
          </cell>
          <cell r="AL16">
            <v>0.78</v>
          </cell>
          <cell r="AN16">
            <v>0.18</v>
          </cell>
          <cell r="AO16">
            <v>524</v>
          </cell>
          <cell r="AQ16">
            <v>0.7</v>
          </cell>
          <cell r="AS16">
            <v>0.37</v>
          </cell>
          <cell r="AT16">
            <v>212</v>
          </cell>
          <cell r="AV16">
            <v>0.77</v>
          </cell>
          <cell r="AX16">
            <v>0.3</v>
          </cell>
          <cell r="AY16">
            <v>374</v>
          </cell>
          <cell r="BA16">
            <v>0.8</v>
          </cell>
          <cell r="BC16">
            <v>0.17</v>
          </cell>
          <cell r="BD16">
            <v>663</v>
          </cell>
          <cell r="BF16">
            <v>0.56999999999999995</v>
          </cell>
          <cell r="BH16">
            <v>0</v>
          </cell>
          <cell r="BI16">
            <v>696</v>
          </cell>
          <cell r="BK16">
            <v>0.67</v>
          </cell>
          <cell r="BM16">
            <v>0.05</v>
          </cell>
          <cell r="BN16">
            <v>706</v>
          </cell>
          <cell r="BP16">
            <v>0.56999999999999995</v>
          </cell>
          <cell r="BR16">
            <v>0.3</v>
          </cell>
          <cell r="BS16">
            <v>220</v>
          </cell>
        </row>
      </sheetData>
      <sheetData sheetId="9">
        <row r="1">
          <cell r="G1">
            <v>1</v>
          </cell>
        </row>
        <row r="2">
          <cell r="J2">
            <v>758</v>
          </cell>
        </row>
        <row r="4">
          <cell r="G4">
            <v>0.746</v>
          </cell>
          <cell r="H4">
            <v>-0.182</v>
          </cell>
          <cell r="J4">
            <v>758</v>
          </cell>
          <cell r="L4">
            <v>0.64</v>
          </cell>
          <cell r="M4">
            <v>-0.22</v>
          </cell>
          <cell r="O4">
            <v>354</v>
          </cell>
          <cell r="Q4">
            <v>0.9</v>
          </cell>
          <cell r="R4">
            <v>-0.18</v>
          </cell>
          <cell r="T4">
            <v>353</v>
          </cell>
          <cell r="V4">
            <v>0.78</v>
          </cell>
          <cell r="W4">
            <v>0.19</v>
          </cell>
          <cell r="Y4">
            <v>288</v>
          </cell>
          <cell r="AA4">
            <v>0.77</v>
          </cell>
          <cell r="AB4">
            <v>-0.08</v>
          </cell>
          <cell r="AD4">
            <v>463</v>
          </cell>
          <cell r="AF4">
            <v>0.8</v>
          </cell>
          <cell r="AG4">
            <v>-0.51</v>
          </cell>
          <cell r="AI4">
            <v>609</v>
          </cell>
          <cell r="AK4">
            <v>0.72</v>
          </cell>
          <cell r="AL4">
            <v>0.17</v>
          </cell>
          <cell r="AN4">
            <v>506</v>
          </cell>
          <cell r="AP4">
            <v>0.78</v>
          </cell>
          <cell r="AS4">
            <v>524</v>
          </cell>
          <cell r="AU4">
            <v>0.66</v>
          </cell>
          <cell r="AV4">
            <v>0.23</v>
          </cell>
          <cell r="AX4">
            <v>212</v>
          </cell>
          <cell r="AZ4">
            <v>0.84</v>
          </cell>
          <cell r="BA4">
            <v>8.9999999999999993E-3</v>
          </cell>
          <cell r="BC4">
            <v>374</v>
          </cell>
          <cell r="BE4">
            <v>0.77</v>
          </cell>
          <cell r="BF4">
            <v>-0.17</v>
          </cell>
          <cell r="BH4">
            <v>663</v>
          </cell>
          <cell r="BJ4">
            <v>0.67</v>
          </cell>
          <cell r="BK4">
            <v>-0.1</v>
          </cell>
          <cell r="BM4">
            <v>696</v>
          </cell>
          <cell r="BO4">
            <v>0.8</v>
          </cell>
          <cell r="BP4">
            <v>4.0000000000000001E-3</v>
          </cell>
          <cell r="BR4">
            <v>706</v>
          </cell>
          <cell r="BT4">
            <v>0.52</v>
          </cell>
          <cell r="BU4">
            <v>0.19</v>
          </cell>
          <cell r="BW4">
            <v>220</v>
          </cell>
        </row>
        <row r="5">
          <cell r="G5">
            <v>0.67700000000000005</v>
          </cell>
          <cell r="H5">
            <v>-0.16600000000000001</v>
          </cell>
          <cell r="J5">
            <v>758</v>
          </cell>
          <cell r="L5">
            <v>0.66</v>
          </cell>
          <cell r="M5">
            <v>0.03</v>
          </cell>
          <cell r="O5">
            <v>354</v>
          </cell>
          <cell r="Q5">
            <v>0.83</v>
          </cell>
          <cell r="R5">
            <v>0.08</v>
          </cell>
          <cell r="T5">
            <v>353</v>
          </cell>
          <cell r="V5">
            <v>0.72</v>
          </cell>
          <cell r="W5">
            <v>0.41</v>
          </cell>
          <cell r="Y5">
            <v>288</v>
          </cell>
          <cell r="AA5">
            <v>0.62</v>
          </cell>
          <cell r="AB5">
            <v>0.2</v>
          </cell>
          <cell r="AD5">
            <v>463</v>
          </cell>
          <cell r="AF5">
            <v>0.68</v>
          </cell>
          <cell r="AG5">
            <v>0.01</v>
          </cell>
          <cell r="AI5">
            <v>609</v>
          </cell>
          <cell r="AK5">
            <v>0.56999999999999995</v>
          </cell>
          <cell r="AL5">
            <v>0.94</v>
          </cell>
          <cell r="AN5">
            <v>506</v>
          </cell>
          <cell r="AP5">
            <v>0.73</v>
          </cell>
          <cell r="AS5">
            <v>524</v>
          </cell>
          <cell r="AU5">
            <v>0.69</v>
          </cell>
          <cell r="AV5">
            <v>0.24</v>
          </cell>
          <cell r="AX5">
            <v>212</v>
          </cell>
          <cell r="AZ5">
            <v>0.76</v>
          </cell>
          <cell r="BA5">
            <v>0.12</v>
          </cell>
          <cell r="BC5">
            <v>374</v>
          </cell>
          <cell r="BE5">
            <v>0.75</v>
          </cell>
          <cell r="BF5">
            <v>0.02</v>
          </cell>
          <cell r="BH5">
            <v>663</v>
          </cell>
          <cell r="BJ5">
            <v>0.6</v>
          </cell>
          <cell r="BK5">
            <v>-0.03</v>
          </cell>
          <cell r="BM5">
            <v>696</v>
          </cell>
          <cell r="BO5">
            <v>0.69</v>
          </cell>
          <cell r="BP5">
            <v>0</v>
          </cell>
          <cell r="BR5">
            <v>706</v>
          </cell>
          <cell r="BT5">
            <v>0.59</v>
          </cell>
          <cell r="BU5">
            <v>0.06</v>
          </cell>
          <cell r="BW5">
            <v>220</v>
          </cell>
        </row>
        <row r="6">
          <cell r="G6">
            <v>0.34499999999999997</v>
          </cell>
          <cell r="H6">
            <v>0.38</v>
          </cell>
          <cell r="J6">
            <v>758</v>
          </cell>
          <cell r="L6">
            <v>0.56999999999999995</v>
          </cell>
          <cell r="M6">
            <v>7.0000000000000007E-2</v>
          </cell>
          <cell r="O6">
            <v>354</v>
          </cell>
          <cell r="Q6">
            <v>0.73</v>
          </cell>
          <cell r="R6">
            <v>0.31</v>
          </cell>
          <cell r="T6">
            <v>353</v>
          </cell>
          <cell r="V6">
            <v>0.56999999999999995</v>
          </cell>
          <cell r="W6">
            <v>0.32</v>
          </cell>
          <cell r="Y6">
            <v>288</v>
          </cell>
          <cell r="AA6">
            <v>0.6</v>
          </cell>
          <cell r="AB6">
            <v>0.45</v>
          </cell>
          <cell r="AD6">
            <v>463</v>
          </cell>
          <cell r="AF6">
            <v>0.49</v>
          </cell>
          <cell r="AG6">
            <v>0.13</v>
          </cell>
          <cell r="AI6">
            <v>609</v>
          </cell>
          <cell r="AK6">
            <v>0.7</v>
          </cell>
          <cell r="AL6">
            <v>7.0000000000000007E-2</v>
          </cell>
          <cell r="AN6">
            <v>506</v>
          </cell>
          <cell r="AP6">
            <v>0.76</v>
          </cell>
          <cell r="AS6">
            <v>524</v>
          </cell>
          <cell r="AU6">
            <v>0.67</v>
          </cell>
          <cell r="AV6">
            <v>0.23</v>
          </cell>
          <cell r="AX6">
            <v>212</v>
          </cell>
          <cell r="AZ6">
            <v>0.64</v>
          </cell>
          <cell r="BA6">
            <v>0.67</v>
          </cell>
          <cell r="BC6">
            <v>374</v>
          </cell>
          <cell r="BE6">
            <v>0.73</v>
          </cell>
          <cell r="BF6">
            <v>0.05</v>
          </cell>
          <cell r="BH6">
            <v>663</v>
          </cell>
          <cell r="BJ6">
            <v>0.12</v>
          </cell>
          <cell r="BK6">
            <v>0.48</v>
          </cell>
          <cell r="BM6">
            <v>696</v>
          </cell>
          <cell r="BO6">
            <v>0.16</v>
          </cell>
          <cell r="BP6">
            <v>0.28000000000000003</v>
          </cell>
          <cell r="BR6">
            <v>706</v>
          </cell>
          <cell r="BT6">
            <v>0.41</v>
          </cell>
          <cell r="BU6">
            <v>0.12</v>
          </cell>
          <cell r="BW6">
            <v>220</v>
          </cell>
        </row>
        <row r="7">
          <cell r="G7">
            <v>0.46600000000000003</v>
          </cell>
          <cell r="H7">
            <v>0.14699999999999999</v>
          </cell>
          <cell r="J7">
            <v>758</v>
          </cell>
          <cell r="L7">
            <v>0.49</v>
          </cell>
          <cell r="M7">
            <v>0.1</v>
          </cell>
          <cell r="O7">
            <v>354</v>
          </cell>
          <cell r="Q7">
            <v>0.83</v>
          </cell>
          <cell r="R7">
            <v>0.06</v>
          </cell>
          <cell r="T7">
            <v>353</v>
          </cell>
          <cell r="V7">
            <v>0.78</v>
          </cell>
          <cell r="W7">
            <v>0.06</v>
          </cell>
          <cell r="Y7">
            <v>288</v>
          </cell>
          <cell r="AA7">
            <v>0.81</v>
          </cell>
          <cell r="AB7">
            <v>0.01</v>
          </cell>
          <cell r="AD7">
            <v>463</v>
          </cell>
          <cell r="AF7">
            <v>0.36</v>
          </cell>
          <cell r="AG7">
            <v>0.03</v>
          </cell>
          <cell r="AI7">
            <v>609</v>
          </cell>
          <cell r="AK7">
            <v>0.82</v>
          </cell>
          <cell r="AL7">
            <v>-0.03</v>
          </cell>
          <cell r="AN7">
            <v>506</v>
          </cell>
          <cell r="AP7">
            <v>0.77</v>
          </cell>
          <cell r="AS7">
            <v>524</v>
          </cell>
          <cell r="AU7">
            <v>0.7</v>
          </cell>
          <cell r="AV7">
            <v>0.24</v>
          </cell>
          <cell r="AX7">
            <v>212</v>
          </cell>
          <cell r="AZ7">
            <v>0.69</v>
          </cell>
          <cell r="BA7">
            <v>0.28000000000000003</v>
          </cell>
          <cell r="BC7">
            <v>374</v>
          </cell>
          <cell r="BE7">
            <v>0.78</v>
          </cell>
          <cell r="BF7">
            <v>-0.12</v>
          </cell>
          <cell r="BH7">
            <v>663</v>
          </cell>
          <cell r="BJ7">
            <v>0.44</v>
          </cell>
          <cell r="BK7">
            <v>0.18</v>
          </cell>
          <cell r="BM7">
            <v>696</v>
          </cell>
          <cell r="BO7">
            <v>0.5</v>
          </cell>
          <cell r="BP7">
            <v>0.09</v>
          </cell>
          <cell r="BR7">
            <v>706</v>
          </cell>
          <cell r="BT7">
            <v>0.57999999999999996</v>
          </cell>
          <cell r="BU7">
            <v>0.01</v>
          </cell>
          <cell r="BW7">
            <v>220</v>
          </cell>
        </row>
        <row r="8">
          <cell r="G8">
            <v>0.61199999999999999</v>
          </cell>
          <cell r="H8">
            <v>0.36199999999999999</v>
          </cell>
          <cell r="J8">
            <v>758</v>
          </cell>
          <cell r="L8">
            <v>0.72</v>
          </cell>
          <cell r="M8">
            <v>0.2</v>
          </cell>
          <cell r="O8">
            <v>354</v>
          </cell>
          <cell r="Q8">
            <v>0.7</v>
          </cell>
          <cell r="R8">
            <v>0.34</v>
          </cell>
          <cell r="T8">
            <v>353</v>
          </cell>
          <cell r="V8">
            <v>0.76</v>
          </cell>
          <cell r="W8">
            <v>0.27</v>
          </cell>
          <cell r="Y8">
            <v>288</v>
          </cell>
          <cell r="AA8">
            <v>0.7</v>
          </cell>
          <cell r="AB8">
            <v>0.48</v>
          </cell>
          <cell r="AD8">
            <v>463</v>
          </cell>
          <cell r="AF8">
            <v>0.65</v>
          </cell>
          <cell r="AG8">
            <v>0.25</v>
          </cell>
          <cell r="AI8">
            <v>609</v>
          </cell>
          <cell r="AK8">
            <v>0.69</v>
          </cell>
          <cell r="AL8">
            <v>0.1</v>
          </cell>
          <cell r="AN8">
            <v>506</v>
          </cell>
          <cell r="AP8">
            <v>0.76</v>
          </cell>
          <cell r="AS8">
            <v>524</v>
          </cell>
          <cell r="AU8">
            <v>0.67</v>
          </cell>
          <cell r="AV8">
            <v>0.23</v>
          </cell>
          <cell r="AX8">
            <v>212</v>
          </cell>
          <cell r="AZ8">
            <v>0.73</v>
          </cell>
          <cell r="BA8">
            <v>0.26</v>
          </cell>
          <cell r="BC8">
            <v>374</v>
          </cell>
          <cell r="BE8">
            <v>0.68</v>
          </cell>
          <cell r="BF8">
            <v>7.0000000000000007E-2</v>
          </cell>
          <cell r="BH8">
            <v>663</v>
          </cell>
          <cell r="BJ8">
            <v>0.35</v>
          </cell>
          <cell r="BK8">
            <v>0.3</v>
          </cell>
          <cell r="BM8">
            <v>696</v>
          </cell>
          <cell r="BO8">
            <v>0.5</v>
          </cell>
          <cell r="BP8">
            <v>0.28000000000000003</v>
          </cell>
          <cell r="BR8">
            <v>706</v>
          </cell>
          <cell r="BT8">
            <v>0.65</v>
          </cell>
          <cell r="BU8">
            <v>-0.6</v>
          </cell>
          <cell r="BW8">
            <v>220</v>
          </cell>
        </row>
        <row r="9">
          <cell r="G9">
            <v>0.78</v>
          </cell>
          <cell r="H9">
            <v>0.157</v>
          </cell>
          <cell r="J9">
            <v>758</v>
          </cell>
          <cell r="L9">
            <v>0.77</v>
          </cell>
          <cell r="M9">
            <v>-0.45</v>
          </cell>
          <cell r="O9">
            <v>354</v>
          </cell>
          <cell r="Q9">
            <v>0.87</v>
          </cell>
          <cell r="R9">
            <v>0.03</v>
          </cell>
          <cell r="T9">
            <v>353</v>
          </cell>
          <cell r="V9">
            <v>0.73</v>
          </cell>
          <cell r="W9">
            <v>0.33</v>
          </cell>
          <cell r="Y9">
            <v>288</v>
          </cell>
          <cell r="AA9">
            <v>0.79</v>
          </cell>
          <cell r="AB9">
            <v>0.2</v>
          </cell>
          <cell r="AD9">
            <v>463</v>
          </cell>
          <cell r="AF9">
            <v>0.62</v>
          </cell>
          <cell r="AG9">
            <v>0.13</v>
          </cell>
          <cell r="AI9">
            <v>609</v>
          </cell>
          <cell r="AK9">
            <v>0.81</v>
          </cell>
          <cell r="AL9">
            <v>-0.04</v>
          </cell>
          <cell r="AN9">
            <v>506</v>
          </cell>
          <cell r="AP9">
            <v>0.8</v>
          </cell>
          <cell r="AS9">
            <v>524</v>
          </cell>
          <cell r="AU9">
            <v>0.71</v>
          </cell>
          <cell r="AV9">
            <v>0.24</v>
          </cell>
          <cell r="AX9">
            <v>212</v>
          </cell>
          <cell r="AZ9">
            <v>0.77</v>
          </cell>
          <cell r="BA9">
            <v>0.22</v>
          </cell>
          <cell r="BC9">
            <v>374</v>
          </cell>
          <cell r="BE9">
            <v>0.77</v>
          </cell>
          <cell r="BF9">
            <v>0.06</v>
          </cell>
          <cell r="BH9">
            <v>663</v>
          </cell>
          <cell r="BJ9">
            <v>0.21</v>
          </cell>
          <cell r="BK9">
            <v>0.03</v>
          </cell>
          <cell r="BM9">
            <v>696</v>
          </cell>
          <cell r="BO9">
            <v>0.42</v>
          </cell>
          <cell r="BP9">
            <v>0.12</v>
          </cell>
          <cell r="BR9">
            <v>706</v>
          </cell>
          <cell r="BT9">
            <v>0.48</v>
          </cell>
          <cell r="BU9">
            <v>0.22</v>
          </cell>
          <cell r="BW9">
            <v>220</v>
          </cell>
        </row>
        <row r="10">
          <cell r="G10">
            <v>0.69799999999999995</v>
          </cell>
          <cell r="H10">
            <v>0.49099999999999999</v>
          </cell>
          <cell r="J10">
            <v>758</v>
          </cell>
          <cell r="L10">
            <v>0.57999999999999996</v>
          </cell>
          <cell r="M10">
            <v>0.28000000000000003</v>
          </cell>
          <cell r="O10">
            <v>354</v>
          </cell>
          <cell r="Q10">
            <v>0.62</v>
          </cell>
          <cell r="R10">
            <v>0.45</v>
          </cell>
          <cell r="T10">
            <v>353</v>
          </cell>
          <cell r="V10">
            <v>0.64</v>
          </cell>
          <cell r="W10">
            <v>0.28999999999999998</v>
          </cell>
          <cell r="Y10">
            <v>288</v>
          </cell>
          <cell r="AA10">
            <v>0.61</v>
          </cell>
          <cell r="AB10">
            <v>0.48</v>
          </cell>
          <cell r="AD10">
            <v>463</v>
          </cell>
          <cell r="AF10">
            <v>0.64</v>
          </cell>
          <cell r="AG10">
            <v>0.27</v>
          </cell>
          <cell r="AI10">
            <v>609</v>
          </cell>
          <cell r="AK10">
            <v>0.69</v>
          </cell>
          <cell r="AL10">
            <v>0.18</v>
          </cell>
          <cell r="AN10">
            <v>506</v>
          </cell>
          <cell r="AP10">
            <v>0.72</v>
          </cell>
          <cell r="AS10">
            <v>524</v>
          </cell>
          <cell r="AU10">
            <v>0.7</v>
          </cell>
          <cell r="AV10">
            <v>0.24</v>
          </cell>
          <cell r="AX10">
            <v>212</v>
          </cell>
          <cell r="AZ10">
            <v>0.68</v>
          </cell>
          <cell r="BA10">
            <v>0.17</v>
          </cell>
          <cell r="BC10">
            <v>374</v>
          </cell>
          <cell r="BE10">
            <v>0.75</v>
          </cell>
          <cell r="BF10">
            <v>0.66</v>
          </cell>
          <cell r="BH10">
            <v>663</v>
          </cell>
          <cell r="BJ10">
            <v>0.27</v>
          </cell>
          <cell r="BK10">
            <v>0.21</v>
          </cell>
          <cell r="BM10">
            <v>696</v>
          </cell>
          <cell r="BO10">
            <v>0.4</v>
          </cell>
          <cell r="BP10">
            <v>0.76</v>
          </cell>
          <cell r="BR10">
            <v>706</v>
          </cell>
          <cell r="BT10">
            <v>0.4</v>
          </cell>
          <cell r="BU10">
            <v>-0.27</v>
          </cell>
          <cell r="BW10">
            <v>220</v>
          </cell>
        </row>
        <row r="12">
          <cell r="G12">
            <v>0.61499999999999999</v>
          </cell>
          <cell r="I12">
            <v>0.53300000000000003</v>
          </cell>
          <cell r="J12">
            <v>758</v>
          </cell>
          <cell r="L12">
            <v>0.67</v>
          </cell>
          <cell r="N12">
            <v>0.18</v>
          </cell>
          <cell r="O12">
            <v>354</v>
          </cell>
          <cell r="Q12">
            <v>0.82</v>
          </cell>
          <cell r="S12">
            <v>0.24</v>
          </cell>
          <cell r="T12">
            <v>353</v>
          </cell>
          <cell r="V12">
            <v>0.39</v>
          </cell>
          <cell r="X12">
            <v>-0.27</v>
          </cell>
          <cell r="Y12">
            <v>288</v>
          </cell>
          <cell r="AA12">
            <v>0.7</v>
          </cell>
          <cell r="AC12">
            <v>0.17</v>
          </cell>
          <cell r="AD12">
            <v>463</v>
          </cell>
          <cell r="AF12">
            <v>0.56000000000000005</v>
          </cell>
          <cell r="AH12">
            <v>0.42</v>
          </cell>
          <cell r="AI12">
            <v>609</v>
          </cell>
          <cell r="AK12">
            <v>0.79</v>
          </cell>
          <cell r="AM12">
            <v>0.15</v>
          </cell>
          <cell r="AN12">
            <v>506</v>
          </cell>
          <cell r="AP12">
            <v>0.72</v>
          </cell>
          <cell r="AR12">
            <v>0.25</v>
          </cell>
          <cell r="AS12">
            <v>524</v>
          </cell>
          <cell r="AU12">
            <v>0.62</v>
          </cell>
          <cell r="AW12">
            <v>0.32</v>
          </cell>
          <cell r="AX12">
            <v>212</v>
          </cell>
          <cell r="AZ12">
            <v>0.79</v>
          </cell>
          <cell r="BB12">
            <v>0.34</v>
          </cell>
          <cell r="BC12">
            <v>374</v>
          </cell>
          <cell r="BE12">
            <v>0.72</v>
          </cell>
          <cell r="BG12">
            <v>0.24</v>
          </cell>
          <cell r="BH12">
            <v>663</v>
          </cell>
          <cell r="BJ12">
            <v>0.71</v>
          </cell>
          <cell r="BL12">
            <v>-0.23</v>
          </cell>
          <cell r="BM12">
            <v>696</v>
          </cell>
          <cell r="BO12">
            <v>0.78</v>
          </cell>
          <cell r="BQ12">
            <v>-0.17</v>
          </cell>
          <cell r="BR12">
            <v>706</v>
          </cell>
          <cell r="BT12">
            <v>0.44</v>
          </cell>
          <cell r="BV12">
            <v>0.3</v>
          </cell>
          <cell r="BW12">
            <v>220</v>
          </cell>
        </row>
        <row r="13">
          <cell r="G13">
            <v>0.59299999999999997</v>
          </cell>
          <cell r="I13">
            <v>0.66600000000000004</v>
          </cell>
          <cell r="J13">
            <v>758</v>
          </cell>
          <cell r="L13">
            <v>0.63</v>
          </cell>
          <cell r="N13">
            <v>0.26</v>
          </cell>
          <cell r="O13">
            <v>354</v>
          </cell>
          <cell r="Q13">
            <v>0.72</v>
          </cell>
          <cell r="S13">
            <v>0.5</v>
          </cell>
          <cell r="T13">
            <v>353</v>
          </cell>
          <cell r="V13">
            <v>0.68</v>
          </cell>
          <cell r="X13">
            <v>0.49</v>
          </cell>
          <cell r="Y13">
            <v>288</v>
          </cell>
          <cell r="AA13">
            <v>0.7</v>
          </cell>
          <cell r="AC13">
            <v>0.49</v>
          </cell>
          <cell r="AD13">
            <v>463</v>
          </cell>
          <cell r="AF13">
            <v>0.45</v>
          </cell>
          <cell r="AH13">
            <v>0.67</v>
          </cell>
          <cell r="AI13">
            <v>609</v>
          </cell>
          <cell r="AK13">
            <v>0.72</v>
          </cell>
          <cell r="AM13">
            <v>0.55000000000000004</v>
          </cell>
          <cell r="AN13">
            <v>506</v>
          </cell>
          <cell r="AP13">
            <v>0.61</v>
          </cell>
          <cell r="AR13">
            <v>0.72</v>
          </cell>
          <cell r="AS13">
            <v>524</v>
          </cell>
          <cell r="AU13">
            <v>0.66</v>
          </cell>
          <cell r="AW13">
            <v>0.34</v>
          </cell>
          <cell r="AX13">
            <v>212</v>
          </cell>
          <cell r="AZ13">
            <v>0.69</v>
          </cell>
          <cell r="BB13">
            <v>0.55000000000000004</v>
          </cell>
          <cell r="BC13">
            <v>374</v>
          </cell>
          <cell r="BE13">
            <v>0.71</v>
          </cell>
          <cell r="BG13">
            <v>0.55000000000000004</v>
          </cell>
          <cell r="BH13">
            <v>663</v>
          </cell>
          <cell r="BJ13">
            <v>0.55000000000000004</v>
          </cell>
          <cell r="BL13">
            <v>0.4</v>
          </cell>
          <cell r="BM13">
            <v>696</v>
          </cell>
          <cell r="BO13">
            <v>0.68</v>
          </cell>
          <cell r="BQ13">
            <v>0.21</v>
          </cell>
          <cell r="BR13">
            <v>706</v>
          </cell>
          <cell r="BT13">
            <v>0.56999999999999995</v>
          </cell>
          <cell r="BV13">
            <v>0.4</v>
          </cell>
          <cell r="BW13">
            <v>220</v>
          </cell>
        </row>
        <row r="14">
          <cell r="G14">
            <v>0.66100000000000003</v>
          </cell>
          <cell r="I14">
            <v>0.436</v>
          </cell>
          <cell r="J14">
            <v>758</v>
          </cell>
          <cell r="L14">
            <v>0.62</v>
          </cell>
          <cell r="N14">
            <v>0.32</v>
          </cell>
          <cell r="O14">
            <v>354</v>
          </cell>
          <cell r="Q14">
            <v>0.79</v>
          </cell>
          <cell r="S14">
            <v>0.44</v>
          </cell>
          <cell r="T14">
            <v>353</v>
          </cell>
          <cell r="V14">
            <v>0.7</v>
          </cell>
          <cell r="X14">
            <v>0.44</v>
          </cell>
          <cell r="Y14">
            <v>288</v>
          </cell>
          <cell r="AA14">
            <v>0.69</v>
          </cell>
          <cell r="AC14">
            <v>0.6</v>
          </cell>
          <cell r="AD14">
            <v>463</v>
          </cell>
          <cell r="AF14">
            <v>0.47</v>
          </cell>
          <cell r="AH14">
            <v>0.5</v>
          </cell>
          <cell r="AI14">
            <v>609</v>
          </cell>
          <cell r="AK14">
            <v>0.74</v>
          </cell>
          <cell r="AM14">
            <v>0.44</v>
          </cell>
          <cell r="AN14">
            <v>506</v>
          </cell>
          <cell r="AP14">
            <v>0.7</v>
          </cell>
          <cell r="AR14">
            <v>0.56000000000000005</v>
          </cell>
          <cell r="AS14">
            <v>524</v>
          </cell>
          <cell r="AU14">
            <v>0.67</v>
          </cell>
          <cell r="AW14">
            <v>0.35</v>
          </cell>
          <cell r="AX14">
            <v>212</v>
          </cell>
          <cell r="AZ14">
            <v>0.77</v>
          </cell>
          <cell r="BB14">
            <v>0.4</v>
          </cell>
          <cell r="BC14">
            <v>374</v>
          </cell>
          <cell r="BE14">
            <v>0.7</v>
          </cell>
          <cell r="BG14">
            <v>0.56000000000000005</v>
          </cell>
          <cell r="BH14">
            <v>663</v>
          </cell>
          <cell r="BJ14">
            <v>0.56000000000000005</v>
          </cell>
          <cell r="BL14">
            <v>0.36</v>
          </cell>
          <cell r="BM14">
            <v>696</v>
          </cell>
          <cell r="BO14">
            <v>0.7</v>
          </cell>
          <cell r="BQ14">
            <v>0.2</v>
          </cell>
          <cell r="BR14">
            <v>706</v>
          </cell>
          <cell r="BT14">
            <v>0.57999999999999996</v>
          </cell>
          <cell r="BV14">
            <v>0.37</v>
          </cell>
          <cell r="BW14">
            <v>220</v>
          </cell>
        </row>
        <row r="15">
          <cell r="G15">
            <v>0.57999999999999996</v>
          </cell>
          <cell r="I15">
            <v>0.57999999999999996</v>
          </cell>
          <cell r="J15">
            <v>758</v>
          </cell>
          <cell r="L15">
            <v>0.68</v>
          </cell>
          <cell r="N15">
            <v>0.3</v>
          </cell>
          <cell r="O15">
            <v>354</v>
          </cell>
          <cell r="Q15">
            <v>0.74</v>
          </cell>
          <cell r="S15">
            <v>0.51</v>
          </cell>
          <cell r="T15">
            <v>353</v>
          </cell>
          <cell r="V15">
            <v>0.69</v>
          </cell>
          <cell r="X15">
            <v>0.35</v>
          </cell>
          <cell r="Y15">
            <v>288</v>
          </cell>
          <cell r="AA15">
            <v>0.71</v>
          </cell>
          <cell r="AC15">
            <v>0.28000000000000003</v>
          </cell>
          <cell r="AD15">
            <v>463</v>
          </cell>
          <cell r="AF15">
            <v>0.46</v>
          </cell>
          <cell r="AH15">
            <v>0.59</v>
          </cell>
          <cell r="AI15">
            <v>609</v>
          </cell>
          <cell r="AK15">
            <v>0.72</v>
          </cell>
          <cell r="AM15">
            <v>0.34</v>
          </cell>
          <cell r="AN15">
            <v>506</v>
          </cell>
          <cell r="AP15">
            <v>0.69</v>
          </cell>
          <cell r="AR15">
            <v>0.38</v>
          </cell>
          <cell r="AS15">
            <v>524</v>
          </cell>
          <cell r="AU15">
            <v>0.66</v>
          </cell>
          <cell r="AW15">
            <v>0.34</v>
          </cell>
          <cell r="AX15">
            <v>212</v>
          </cell>
          <cell r="AZ15">
            <v>0.66</v>
          </cell>
          <cell r="BB15">
            <v>0.45</v>
          </cell>
          <cell r="BC15">
            <v>374</v>
          </cell>
          <cell r="BE15">
            <v>0.68</v>
          </cell>
          <cell r="BG15">
            <v>0.38</v>
          </cell>
          <cell r="BH15">
            <v>663</v>
          </cell>
          <cell r="BJ15">
            <v>0.4</v>
          </cell>
          <cell r="BL15">
            <v>0.35</v>
          </cell>
          <cell r="BM15">
            <v>696</v>
          </cell>
          <cell r="BO15">
            <v>0.57999999999999996</v>
          </cell>
          <cell r="BQ15">
            <v>0.22</v>
          </cell>
          <cell r="BR15">
            <v>706</v>
          </cell>
          <cell r="BT15">
            <v>0.46</v>
          </cell>
          <cell r="BV15">
            <v>0.48</v>
          </cell>
          <cell r="BW15">
            <v>220</v>
          </cell>
        </row>
        <row r="16">
          <cell r="G16">
            <v>0.63300000000000001</v>
          </cell>
          <cell r="I16">
            <v>0.39200000000000002</v>
          </cell>
          <cell r="J16">
            <v>758</v>
          </cell>
          <cell r="L16">
            <v>0.72</v>
          </cell>
          <cell r="N16">
            <v>-0.06</v>
          </cell>
          <cell r="O16">
            <v>354</v>
          </cell>
          <cell r="Q16">
            <v>0.76</v>
          </cell>
          <cell r="S16">
            <v>0.39</v>
          </cell>
          <cell r="T16">
            <v>353</v>
          </cell>
          <cell r="V16">
            <v>0.75</v>
          </cell>
          <cell r="X16">
            <v>0.24</v>
          </cell>
          <cell r="Y16">
            <v>288</v>
          </cell>
          <cell r="AA16">
            <v>0.8</v>
          </cell>
          <cell r="AC16">
            <v>0.1</v>
          </cell>
          <cell r="AD16">
            <v>463</v>
          </cell>
          <cell r="AF16">
            <v>0.52</v>
          </cell>
          <cell r="AH16">
            <v>0.36</v>
          </cell>
          <cell r="AI16">
            <v>609</v>
          </cell>
          <cell r="AK16">
            <v>0.82</v>
          </cell>
          <cell r="AM16">
            <v>0.16</v>
          </cell>
          <cell r="AN16">
            <v>506</v>
          </cell>
          <cell r="AP16">
            <v>0.78</v>
          </cell>
          <cell r="AR16">
            <v>0.18</v>
          </cell>
          <cell r="AS16">
            <v>524</v>
          </cell>
          <cell r="AU16">
            <v>0.7</v>
          </cell>
          <cell r="AW16">
            <v>0.37</v>
          </cell>
          <cell r="AX16">
            <v>212</v>
          </cell>
          <cell r="AZ16">
            <v>0.77</v>
          </cell>
          <cell r="BB16">
            <v>0.3</v>
          </cell>
          <cell r="BC16">
            <v>374</v>
          </cell>
          <cell r="BE16">
            <v>0.8</v>
          </cell>
          <cell r="BG16">
            <v>0.17</v>
          </cell>
          <cell r="BH16">
            <v>663</v>
          </cell>
          <cell r="BJ16">
            <v>0.56999999999999995</v>
          </cell>
          <cell r="BL16">
            <v>0</v>
          </cell>
          <cell r="BM16">
            <v>696</v>
          </cell>
          <cell r="BO16">
            <v>0.67</v>
          </cell>
          <cell r="BQ16">
            <v>0.05</v>
          </cell>
          <cell r="BR16">
            <v>706</v>
          </cell>
          <cell r="BT16">
            <v>0.56999999999999995</v>
          </cell>
          <cell r="BV16">
            <v>0.3</v>
          </cell>
          <cell r="BW16">
            <v>220</v>
          </cell>
        </row>
        <row r="19">
          <cell r="H19">
            <v>8.9799742018703596E-2</v>
          </cell>
          <cell r="J19">
            <v>758</v>
          </cell>
          <cell r="M19">
            <v>0.97248706512042815</v>
          </cell>
          <cell r="O19">
            <v>354</v>
          </cell>
          <cell r="R19">
            <v>8.7799742018703594E-2</v>
          </cell>
          <cell r="T19">
            <v>353</v>
          </cell>
          <cell r="W19">
            <v>-0.28220025798129639</v>
          </cell>
          <cell r="Y19">
            <v>288</v>
          </cell>
          <cell r="AB19">
            <v>-1.2200257981296397E-2</v>
          </cell>
          <cell r="AD19">
            <v>463</v>
          </cell>
          <cell r="AG19">
            <v>0.41779974201870362</v>
          </cell>
          <cell r="AI19">
            <v>609</v>
          </cell>
          <cell r="AL19">
            <v>-0.26220025798129643</v>
          </cell>
          <cell r="AN19">
            <v>506</v>
          </cell>
          <cell r="AS19">
            <v>524</v>
          </cell>
          <cell r="AV19">
            <v>-0.32220025798129642</v>
          </cell>
          <cell r="AX19">
            <v>212</v>
          </cell>
          <cell r="BA19">
            <v>-0.10120025798129639</v>
          </cell>
          <cell r="BC19">
            <v>374</v>
          </cell>
          <cell r="BF19">
            <v>7.7799742018703613E-2</v>
          </cell>
          <cell r="BH19">
            <v>663</v>
          </cell>
          <cell r="BK19">
            <v>7.7997420187036065E-3</v>
          </cell>
          <cell r="BM19">
            <v>696</v>
          </cell>
          <cell r="BP19">
            <v>-9.6200257981296403E-2</v>
          </cell>
          <cell r="BR19">
            <v>706</v>
          </cell>
          <cell r="BU19">
            <v>-0.28220025798129639</v>
          </cell>
          <cell r="BW19">
            <v>220</v>
          </cell>
        </row>
        <row r="20">
          <cell r="H20">
            <v>0.27996033537568527</v>
          </cell>
          <cell r="J20">
            <v>758</v>
          </cell>
          <cell r="M20">
            <v>0.65117543859649119</v>
          </cell>
          <cell r="O20">
            <v>354</v>
          </cell>
          <cell r="R20">
            <v>3.3960335375685269E-2</v>
          </cell>
          <cell r="T20">
            <v>353</v>
          </cell>
          <cell r="W20">
            <v>-0.29603966462431469</v>
          </cell>
          <cell r="Y20">
            <v>288</v>
          </cell>
          <cell r="AB20">
            <v>-8.6039664624314741E-2</v>
          </cell>
          <cell r="AD20">
            <v>463</v>
          </cell>
          <cell r="AG20">
            <v>0.10396033537568528</v>
          </cell>
          <cell r="AI20">
            <v>609</v>
          </cell>
          <cell r="AL20">
            <v>-0.82603966462431466</v>
          </cell>
          <cell r="AN20">
            <v>506</v>
          </cell>
          <cell r="AS20">
            <v>524</v>
          </cell>
          <cell r="AV20">
            <v>-0.12603966462431471</v>
          </cell>
          <cell r="AX20">
            <v>212</v>
          </cell>
          <cell r="BA20">
            <v>-6.0396646243147251E-3</v>
          </cell>
          <cell r="BC20">
            <v>374</v>
          </cell>
          <cell r="BF20">
            <v>9.3960335375685267E-2</v>
          </cell>
          <cell r="BH20">
            <v>663</v>
          </cell>
          <cell r="BK20">
            <v>0.14396033537568526</v>
          </cell>
          <cell r="BM20">
            <v>696</v>
          </cell>
          <cell r="BP20">
            <v>0.11396033537568527</v>
          </cell>
          <cell r="BR20">
            <v>706</v>
          </cell>
          <cell r="BU20">
            <v>5.3960335375685273E-2</v>
          </cell>
          <cell r="BW20">
            <v>220</v>
          </cell>
        </row>
        <row r="21">
          <cell r="H21">
            <v>-0.10138019993550462</v>
          </cell>
          <cell r="J21">
            <v>758</v>
          </cell>
          <cell r="M21">
            <v>0.43042521558132624</v>
          </cell>
          <cell r="O21">
            <v>354</v>
          </cell>
          <cell r="R21">
            <v>-3.1380199935504616E-2</v>
          </cell>
          <cell r="T21">
            <v>353</v>
          </cell>
          <cell r="W21">
            <v>-4.1380199935504625E-2</v>
          </cell>
          <cell r="Y21">
            <v>288</v>
          </cell>
          <cell r="AB21">
            <v>-0.17138019993550463</v>
          </cell>
          <cell r="AD21">
            <v>463</v>
          </cell>
          <cell r="AG21">
            <v>0.14861980006449538</v>
          </cell>
          <cell r="AI21">
            <v>609</v>
          </cell>
          <cell r="AL21">
            <v>0.20861980006449538</v>
          </cell>
          <cell r="AN21">
            <v>506</v>
          </cell>
          <cell r="AS21">
            <v>524</v>
          </cell>
          <cell r="AV21">
            <v>4.8619800064495372E-2</v>
          </cell>
          <cell r="AX21">
            <v>212</v>
          </cell>
          <cell r="BA21">
            <v>-0.39138019993550466</v>
          </cell>
          <cell r="BC21">
            <v>374</v>
          </cell>
          <cell r="BF21">
            <v>0.22861980006449539</v>
          </cell>
          <cell r="BH21">
            <v>663</v>
          </cell>
          <cell r="BK21">
            <v>-0.2013801999355046</v>
          </cell>
          <cell r="BM21">
            <v>696</v>
          </cell>
          <cell r="BP21">
            <v>-1.3801999355046446E-3</v>
          </cell>
          <cell r="BR21">
            <v>706</v>
          </cell>
          <cell r="BU21">
            <v>0.15861980006449539</v>
          </cell>
          <cell r="BW21">
            <v>220</v>
          </cell>
        </row>
        <row r="22">
          <cell r="H22">
            <v>-7.2819735569171221E-2</v>
          </cell>
          <cell r="J22">
            <v>758</v>
          </cell>
          <cell r="M22">
            <v>0.5195997621171573</v>
          </cell>
          <cell r="O22">
            <v>354</v>
          </cell>
          <cell r="R22">
            <v>1.4180264430828773E-2</v>
          </cell>
          <cell r="T22">
            <v>353</v>
          </cell>
          <cell r="W22">
            <v>1.4180264430828773E-2</v>
          </cell>
          <cell r="Y22">
            <v>288</v>
          </cell>
          <cell r="AB22">
            <v>6.4180264430828776E-2</v>
          </cell>
          <cell r="AD22">
            <v>463</v>
          </cell>
          <cell r="AG22">
            <v>4.4180264430828772E-2</v>
          </cell>
          <cell r="AI22">
            <v>609</v>
          </cell>
          <cell r="AL22">
            <v>0.10418026443082877</v>
          </cell>
          <cell r="AN22">
            <v>506</v>
          </cell>
          <cell r="AS22">
            <v>524</v>
          </cell>
          <cell r="AV22">
            <v>-0.16581973556917123</v>
          </cell>
          <cell r="AX22">
            <v>212</v>
          </cell>
          <cell r="BA22">
            <v>-0.20581973556917127</v>
          </cell>
          <cell r="BC22">
            <v>374</v>
          </cell>
          <cell r="BF22">
            <v>0.19418026443082875</v>
          </cell>
          <cell r="BH22">
            <v>663</v>
          </cell>
          <cell r="BK22">
            <v>-0.10581973556917122</v>
          </cell>
          <cell r="BM22">
            <v>696</v>
          </cell>
          <cell r="BP22">
            <v>-1.5819735569171225E-2</v>
          </cell>
          <cell r="BR22">
            <v>706</v>
          </cell>
          <cell r="BU22">
            <v>6.4180264430828776E-2</v>
          </cell>
          <cell r="BW22">
            <v>220</v>
          </cell>
        </row>
        <row r="23">
          <cell r="H23">
            <v>-0.13063011931634952</v>
          </cell>
          <cell r="J23">
            <v>758</v>
          </cell>
          <cell r="M23">
            <v>0.43300416294974725</v>
          </cell>
          <cell r="O23">
            <v>354</v>
          </cell>
          <cell r="R23">
            <v>-0.10863011931634955</v>
          </cell>
          <cell r="T23">
            <v>353</v>
          </cell>
          <cell r="W23">
            <v>-3.8630119316349548E-2</v>
          </cell>
          <cell r="Y23">
            <v>288</v>
          </cell>
          <cell r="AB23">
            <v>-0.24863011931634951</v>
          </cell>
          <cell r="AD23">
            <v>463</v>
          </cell>
          <cell r="AG23">
            <v>-1.863011931634953E-2</v>
          </cell>
          <cell r="AI23">
            <v>609</v>
          </cell>
          <cell r="AL23">
            <v>0.13136988068365046</v>
          </cell>
          <cell r="AN23">
            <v>506</v>
          </cell>
          <cell r="AS23">
            <v>524</v>
          </cell>
          <cell r="AV23">
            <v>1.3698806836504596E-3</v>
          </cell>
          <cell r="AX23">
            <v>212</v>
          </cell>
          <cell r="BA23">
            <v>-2.8630119316349539E-2</v>
          </cell>
          <cell r="BC23">
            <v>374</v>
          </cell>
          <cell r="BF23">
            <v>0.16136988068365046</v>
          </cell>
          <cell r="BH23">
            <v>663</v>
          </cell>
          <cell r="BK23">
            <v>-6.8630119316349519E-2</v>
          </cell>
          <cell r="BM23">
            <v>696</v>
          </cell>
          <cell r="BP23">
            <v>-4.8630119316349557E-2</v>
          </cell>
          <cell r="BR23">
            <v>706</v>
          </cell>
          <cell r="BU23">
            <v>0.83136988068365048</v>
          </cell>
          <cell r="BW23">
            <v>220</v>
          </cell>
        </row>
        <row r="24">
          <cell r="H24">
            <v>-6.9317639471138351E-2</v>
          </cell>
          <cell r="J24">
            <v>758</v>
          </cell>
          <cell r="M24">
            <v>1.1117410050550105</v>
          </cell>
          <cell r="O24">
            <v>354</v>
          </cell>
          <cell r="R24">
            <v>5.7682360528861651E-2</v>
          </cell>
          <cell r="T24">
            <v>353</v>
          </cell>
          <cell r="W24">
            <v>-0.24231763947113838</v>
          </cell>
          <cell r="Y24">
            <v>288</v>
          </cell>
          <cell r="AB24">
            <v>-0.11231763947113836</v>
          </cell>
          <cell r="AD24">
            <v>463</v>
          </cell>
          <cell r="AG24">
            <v>-4.2317639471138355E-2</v>
          </cell>
          <cell r="AI24">
            <v>609</v>
          </cell>
          <cell r="AL24">
            <v>0.12768236052886164</v>
          </cell>
          <cell r="AN24">
            <v>506</v>
          </cell>
          <cell r="AS24">
            <v>524</v>
          </cell>
          <cell r="AV24">
            <v>-0.15231763947113836</v>
          </cell>
          <cell r="AX24">
            <v>212</v>
          </cell>
          <cell r="BA24">
            <v>-0.13231763947113834</v>
          </cell>
          <cell r="BC24">
            <v>374</v>
          </cell>
          <cell r="BF24">
            <v>2.7682360528861652E-2</v>
          </cell>
          <cell r="BH24">
            <v>663</v>
          </cell>
          <cell r="BK24">
            <v>5.7682360528861651E-2</v>
          </cell>
          <cell r="BM24">
            <v>696</v>
          </cell>
          <cell r="BP24">
            <v>-3.2317639471138346E-2</v>
          </cell>
          <cell r="BR24">
            <v>706</v>
          </cell>
          <cell r="BU24">
            <v>-0.13231763947113834</v>
          </cell>
          <cell r="BW24">
            <v>220</v>
          </cell>
        </row>
        <row r="25">
          <cell r="H25">
            <v>-0.10938471460819094</v>
          </cell>
          <cell r="J25">
            <v>758</v>
          </cell>
          <cell r="M25">
            <v>0.31388700564971761</v>
          </cell>
          <cell r="O25">
            <v>354</v>
          </cell>
          <cell r="R25">
            <v>-6.8384714608190955E-2</v>
          </cell>
          <cell r="T25">
            <v>353</v>
          </cell>
          <cell r="W25">
            <v>9.1615285391809076E-2</v>
          </cell>
          <cell r="Y25">
            <v>288</v>
          </cell>
          <cell r="AB25">
            <v>-9.8384714608190926E-2</v>
          </cell>
          <cell r="AD25">
            <v>463</v>
          </cell>
          <cell r="AG25">
            <v>0.11161528539180904</v>
          </cell>
          <cell r="AI25">
            <v>609</v>
          </cell>
          <cell r="AL25">
            <v>0.20161528539180906</v>
          </cell>
          <cell r="AN25">
            <v>506</v>
          </cell>
          <cell r="AS25">
            <v>524</v>
          </cell>
          <cell r="AV25">
            <v>0.14161528539180906</v>
          </cell>
          <cell r="AX25">
            <v>212</v>
          </cell>
          <cell r="BA25">
            <v>0.21161528539180904</v>
          </cell>
          <cell r="BC25">
            <v>374</v>
          </cell>
          <cell r="BF25">
            <v>-0.27838471460819098</v>
          </cell>
          <cell r="BH25">
            <v>663</v>
          </cell>
          <cell r="BK25">
            <v>0.17161528539180906</v>
          </cell>
          <cell r="BM25">
            <v>696</v>
          </cell>
          <cell r="BP25">
            <v>-0.37838471460819095</v>
          </cell>
          <cell r="BR25">
            <v>706</v>
          </cell>
          <cell r="BU25">
            <v>0.65161528539180913</v>
          </cell>
          <cell r="BW25">
            <v>220</v>
          </cell>
        </row>
        <row r="27">
          <cell r="I27">
            <v>-0.361114183764496</v>
          </cell>
          <cell r="J27">
            <v>758</v>
          </cell>
          <cell r="N27">
            <v>-8.1141837644959358E-3</v>
          </cell>
          <cell r="O27">
            <v>354</v>
          </cell>
          <cell r="S27">
            <v>-6.8114183764495934E-2</v>
          </cell>
          <cell r="T27">
            <v>353</v>
          </cell>
          <cell r="X27">
            <v>0.44188581623550405</v>
          </cell>
          <cell r="Y27">
            <v>288</v>
          </cell>
          <cell r="AC27">
            <v>1.8858162355040453E-3</v>
          </cell>
          <cell r="AD27">
            <v>463</v>
          </cell>
          <cell r="AH27">
            <v>-0.24811418376449593</v>
          </cell>
          <cell r="AI27">
            <v>609</v>
          </cell>
          <cell r="AM27">
            <v>2.1885816235504063E-2</v>
          </cell>
          <cell r="AN27">
            <v>506</v>
          </cell>
          <cell r="AR27">
            <v>-7.8114183764495942E-2</v>
          </cell>
          <cell r="AS27">
            <v>524</v>
          </cell>
          <cell r="AW27">
            <v>-0.14811418376449595</v>
          </cell>
          <cell r="AX27">
            <v>212</v>
          </cell>
          <cell r="BB27">
            <v>-0.16811418376449597</v>
          </cell>
          <cell r="BC27">
            <v>374</v>
          </cell>
          <cell r="BG27">
            <v>-6.8114183764495934E-2</v>
          </cell>
          <cell r="BH27">
            <v>663</v>
          </cell>
          <cell r="BL27">
            <v>0.40188581623550407</v>
          </cell>
          <cell r="BM27">
            <v>696</v>
          </cell>
          <cell r="BQ27">
            <v>0.34188581623550407</v>
          </cell>
          <cell r="BR27">
            <v>706</v>
          </cell>
          <cell r="BV27">
            <v>-0.12811418376449593</v>
          </cell>
          <cell r="BW27">
            <v>220</v>
          </cell>
        </row>
        <row r="28">
          <cell r="I28">
            <v>-0.16614005352363964</v>
          </cell>
          <cell r="J28">
            <v>758</v>
          </cell>
          <cell r="N28">
            <v>0.23985994647636039</v>
          </cell>
          <cell r="O28">
            <v>354</v>
          </cell>
          <cell r="S28">
            <v>-1.4005352363960499E-4</v>
          </cell>
          <cell r="T28">
            <v>353</v>
          </cell>
          <cell r="X28">
            <v>9.8599464763604039E-3</v>
          </cell>
          <cell r="Y28">
            <v>288</v>
          </cell>
          <cell r="AC28">
            <v>9.8599464763604039E-3</v>
          </cell>
          <cell r="AD28">
            <v>463</v>
          </cell>
          <cell r="AH28">
            <v>-0.17014005352363964</v>
          </cell>
          <cell r="AI28">
            <v>609</v>
          </cell>
          <cell r="AM28">
            <v>-5.0140053523639649E-2</v>
          </cell>
          <cell r="AN28">
            <v>506</v>
          </cell>
          <cell r="AR28">
            <v>-0.22014005352363958</v>
          </cell>
          <cell r="AS28">
            <v>524</v>
          </cell>
          <cell r="AW28">
            <v>0.15985994647636037</v>
          </cell>
          <cell r="AX28">
            <v>212</v>
          </cell>
          <cell r="BB28">
            <v>-5.0140053523639649E-2</v>
          </cell>
          <cell r="BC28">
            <v>374</v>
          </cell>
          <cell r="BG28">
            <v>-5.0140053523639649E-2</v>
          </cell>
          <cell r="BH28">
            <v>663</v>
          </cell>
          <cell r="BL28">
            <v>9.9859946476360373E-2</v>
          </cell>
          <cell r="BM28">
            <v>696</v>
          </cell>
          <cell r="BQ28">
            <v>0.28985994647636038</v>
          </cell>
          <cell r="BR28">
            <v>706</v>
          </cell>
          <cell r="BV28">
            <v>9.9859946476360373E-2</v>
          </cell>
          <cell r="BW28">
            <v>220</v>
          </cell>
        </row>
        <row r="29">
          <cell r="I29">
            <v>-5.9631281593815477E-3</v>
          </cell>
          <cell r="J29">
            <v>758</v>
          </cell>
          <cell r="N29">
            <v>0.11003687184061844</v>
          </cell>
          <cell r="O29">
            <v>354</v>
          </cell>
          <cell r="S29">
            <v>-9.9631281593815513E-3</v>
          </cell>
          <cell r="T29">
            <v>353</v>
          </cell>
          <cell r="X29">
            <v>-9.9631281593815513E-3</v>
          </cell>
          <cell r="Y29">
            <v>288</v>
          </cell>
          <cell r="AC29">
            <v>-0.16996312815938153</v>
          </cell>
          <cell r="AD29">
            <v>463</v>
          </cell>
          <cell r="AH29">
            <v>-6.9963128159381549E-2</v>
          </cell>
          <cell r="AI29">
            <v>609</v>
          </cell>
          <cell r="AM29">
            <v>-9.9631281593815513E-3</v>
          </cell>
          <cell r="AN29">
            <v>506</v>
          </cell>
          <cell r="AR29">
            <v>-0.1299631281593816</v>
          </cell>
          <cell r="AS29">
            <v>524</v>
          </cell>
          <cell r="AW29">
            <v>8.0036871840618473E-2</v>
          </cell>
          <cell r="AX29">
            <v>212</v>
          </cell>
          <cell r="BB29">
            <v>3.0036871840618429E-2</v>
          </cell>
          <cell r="BC29">
            <v>374</v>
          </cell>
          <cell r="BG29">
            <v>-0.1299631281593816</v>
          </cell>
          <cell r="BH29">
            <v>663</v>
          </cell>
          <cell r="BL29">
            <v>7.0036871840618464E-2</v>
          </cell>
          <cell r="BM29">
            <v>696</v>
          </cell>
          <cell r="BQ29">
            <v>0.23003687184061844</v>
          </cell>
          <cell r="BR29">
            <v>706</v>
          </cell>
          <cell r="BV29">
            <v>6.0036871840618455E-2</v>
          </cell>
          <cell r="BW29">
            <v>220</v>
          </cell>
        </row>
        <row r="30">
          <cell r="I30">
            <v>-0.18100802854594117</v>
          </cell>
          <cell r="J30">
            <v>758</v>
          </cell>
          <cell r="N30">
            <v>9.8991971454058802E-2</v>
          </cell>
          <cell r="O30">
            <v>354</v>
          </cell>
          <cell r="S30">
            <v>-0.11100802854594122</v>
          </cell>
          <cell r="T30">
            <v>353</v>
          </cell>
          <cell r="X30">
            <v>4.8991971454058814E-2</v>
          </cell>
          <cell r="Y30">
            <v>288</v>
          </cell>
          <cell r="AC30">
            <v>0.11899197145405876</v>
          </cell>
          <cell r="AD30">
            <v>463</v>
          </cell>
          <cell r="AH30">
            <v>-0.19100802854594118</v>
          </cell>
          <cell r="AI30">
            <v>609</v>
          </cell>
          <cell r="AM30">
            <v>5.8991971454058767E-2</v>
          </cell>
          <cell r="AN30">
            <v>506</v>
          </cell>
          <cell r="AR30">
            <v>1.8991971454058787E-2</v>
          </cell>
          <cell r="AS30">
            <v>524</v>
          </cell>
          <cell r="AW30">
            <v>5.8991971454058767E-2</v>
          </cell>
          <cell r="AX30">
            <v>212</v>
          </cell>
          <cell r="BB30">
            <v>-5.100802854594122E-2</v>
          </cell>
          <cell r="BC30">
            <v>374</v>
          </cell>
          <cell r="BG30">
            <v>1.8991971454058787E-2</v>
          </cell>
          <cell r="BH30">
            <v>663</v>
          </cell>
          <cell r="BL30">
            <v>4.8991971454058814E-2</v>
          </cell>
          <cell r="BM30">
            <v>696</v>
          </cell>
          <cell r="BQ30">
            <v>0.17899197145405879</v>
          </cell>
          <cell r="BR30">
            <v>706</v>
          </cell>
          <cell r="BV30">
            <v>-8.1008028545941191E-2</v>
          </cell>
          <cell r="BW30">
            <v>220</v>
          </cell>
        </row>
        <row r="31">
          <cell r="I31">
            <v>-0.19453404698186141</v>
          </cell>
          <cell r="J31">
            <v>758</v>
          </cell>
          <cell r="N31">
            <v>0.25746595301813857</v>
          </cell>
          <cell r="O31">
            <v>354</v>
          </cell>
          <cell r="S31">
            <v>-0.19253404698186141</v>
          </cell>
          <cell r="T31">
            <v>353</v>
          </cell>
          <cell r="X31">
            <v>-4.253404698186139E-2</v>
          </cell>
          <cell r="Y31">
            <v>288</v>
          </cell>
          <cell r="AC31">
            <v>9.7465953018138596E-2</v>
          </cell>
          <cell r="AD31">
            <v>463</v>
          </cell>
          <cell r="AH31">
            <v>-0.16253404698186139</v>
          </cell>
          <cell r="AI31">
            <v>609</v>
          </cell>
          <cell r="AM31">
            <v>3.7465953018138598E-2</v>
          </cell>
          <cell r="AN31">
            <v>506</v>
          </cell>
          <cell r="AR31">
            <v>1.7465953018138608E-2</v>
          </cell>
          <cell r="AS31">
            <v>524</v>
          </cell>
          <cell r="AW31">
            <v>-0.17253404698186139</v>
          </cell>
          <cell r="AX31">
            <v>212</v>
          </cell>
          <cell r="BB31">
            <v>-0.10253404698186139</v>
          </cell>
          <cell r="BC31">
            <v>374</v>
          </cell>
          <cell r="BG31">
            <v>2.7465953018138589E-2</v>
          </cell>
          <cell r="BH31">
            <v>663</v>
          </cell>
          <cell r="BL31">
            <v>0.1974659530181386</v>
          </cell>
          <cell r="BM31">
            <v>696</v>
          </cell>
          <cell r="BQ31">
            <v>0.14746595301813858</v>
          </cell>
          <cell r="BR31">
            <v>706</v>
          </cell>
          <cell r="BV31">
            <v>-0.10253404698186139</v>
          </cell>
          <cell r="BW31">
            <v>220</v>
          </cell>
        </row>
        <row r="34">
          <cell r="G34">
            <v>3.1898166518520329E-2</v>
          </cell>
          <cell r="H34">
            <v>6.1125071993022955</v>
          </cell>
          <cell r="M34">
            <v>334.78880650659653</v>
          </cell>
          <cell r="Q34">
            <v>7.6813032827450352</v>
          </cell>
          <cell r="R34">
            <v>2.7212045285884696</v>
          </cell>
          <cell r="V34">
            <v>0.21800493667801762</v>
          </cell>
          <cell r="W34">
            <v>22.935451854156547</v>
          </cell>
          <cell r="AA34">
            <v>0.14200343718850539</v>
          </cell>
          <cell r="AB34">
            <v>6.8915834497116316E-2</v>
          </cell>
          <cell r="AF34">
            <v>1.374804699350096</v>
          </cell>
          <cell r="AG34">
            <v>106.30498427841525</v>
          </cell>
          <cell r="AK34">
            <v>0.53403715647030503</v>
          </cell>
          <cell r="AL34">
            <v>34.786981494441946</v>
          </cell>
          <cell r="AP34">
            <v>0.39664787090028203</v>
          </cell>
          <cell r="AU34">
            <v>1.8134177294931473</v>
          </cell>
          <cell r="AV34">
            <v>22.008357323561363</v>
          </cell>
          <cell r="AZ34">
            <v>2.8642841504423284</v>
          </cell>
          <cell r="BA34">
            <v>3.8303180885898729</v>
          </cell>
          <cell r="BE34">
            <v>0.20334401480773018</v>
          </cell>
          <cell r="BJ34">
            <v>4.7356646748784996</v>
          </cell>
          <cell r="BK34">
            <v>4.2341838988598106E-2</v>
          </cell>
          <cell r="BO34">
            <v>1.5937801604945283</v>
          </cell>
          <cell r="BP34">
            <v>6.5336696827815963</v>
          </cell>
          <cell r="BT34">
            <v>11.891051798628245</v>
          </cell>
          <cell r="BU34">
            <v>17.520136833036251</v>
          </cell>
        </row>
        <row r="35">
          <cell r="G35">
            <v>1.3215189904585633E-2</v>
          </cell>
          <cell r="H35">
            <v>59.410364352818959</v>
          </cell>
          <cell r="M35">
            <v>150.10642594829176</v>
          </cell>
          <cell r="Q35">
            <v>7.8185087771622017</v>
          </cell>
          <cell r="R35">
            <v>0.40711644572664418</v>
          </cell>
          <cell r="V35">
            <v>0.43411581163434881</v>
          </cell>
          <cell r="W35">
            <v>25.240171112892497</v>
          </cell>
          <cell r="AA35">
            <v>1.7327470751000302</v>
          </cell>
          <cell r="AB35">
            <v>3.42750746045169</v>
          </cell>
          <cell r="AF35">
            <v>8.4142843951975899E-4</v>
          </cell>
          <cell r="AG35">
            <v>6.5819205608378004</v>
          </cell>
          <cell r="AK35">
            <v>6.2541489424438321</v>
          </cell>
          <cell r="AL35">
            <v>345.26481293152102</v>
          </cell>
          <cell r="AP35">
            <v>1.2491310052323792</v>
          </cell>
          <cell r="AU35">
            <v>1.6509051400430762E-2</v>
          </cell>
          <cell r="AV35">
            <v>3.3678313764252623</v>
          </cell>
          <cell r="AZ35">
            <v>2.3237784936903676</v>
          </cell>
          <cell r="BA35">
            <v>1.3642603241550325E-2</v>
          </cell>
          <cell r="BE35">
            <v>3.1405118273314878</v>
          </cell>
          <cell r="BJ35">
            <v>4.5862584746075719</v>
          </cell>
          <cell r="BK35">
            <v>14.424306400389924</v>
          </cell>
          <cell r="BO35">
            <v>5.497825607879301E-2</v>
          </cell>
          <cell r="BP35">
            <v>9.1687923754906961</v>
          </cell>
          <cell r="BT35">
            <v>1.82885133271776</v>
          </cell>
          <cell r="BU35">
            <v>0.64057791464841496</v>
          </cell>
        </row>
        <row r="36">
          <cell r="G36">
            <v>18.311004209984326</v>
          </cell>
          <cell r="H36">
            <v>7.7906822637338715</v>
          </cell>
          <cell r="M36">
            <v>65.584116637713834</v>
          </cell>
          <cell r="Q36">
            <v>18.604717319230826</v>
          </cell>
          <cell r="R36">
            <v>0.34760508264126205</v>
          </cell>
          <cell r="V36">
            <v>1.3941073805486173</v>
          </cell>
          <cell r="W36">
            <v>0.49314843265027308</v>
          </cell>
          <cell r="AA36">
            <v>4.5907087514077372</v>
          </cell>
          <cell r="AB36">
            <v>13.598853066559229</v>
          </cell>
          <cell r="AF36">
            <v>6.6189238029530764E-2</v>
          </cell>
          <cell r="AG36">
            <v>13.451497587467243</v>
          </cell>
          <cell r="AK36">
            <v>20.154027855334604</v>
          </cell>
          <cell r="AL36">
            <v>22.022243815348713</v>
          </cell>
          <cell r="AP36">
            <v>35.306632001944507</v>
          </cell>
          <cell r="AU36">
            <v>6.0961887922556146</v>
          </cell>
          <cell r="AV36">
            <v>0.50114361116203887</v>
          </cell>
          <cell r="AZ36">
            <v>7.2859390466242022</v>
          </cell>
          <cell r="BA36">
            <v>57.288744377181793</v>
          </cell>
          <cell r="BE36">
            <v>34.943137627903788</v>
          </cell>
          <cell r="BJ36">
            <v>100.7274478764686</v>
          </cell>
          <cell r="BK36">
            <v>28.22557350854041</v>
          </cell>
          <cell r="BO36">
            <v>81.817865146936256</v>
          </cell>
          <cell r="BP36">
            <v>1.3448960145487196E-3</v>
          </cell>
          <cell r="BT36">
            <v>1.7988783148444529</v>
          </cell>
          <cell r="BU36">
            <v>5.5352530139501077</v>
          </cell>
        </row>
        <row r="37">
          <cell r="G37">
            <v>17.883408287215051</v>
          </cell>
          <cell r="H37">
            <v>4.0194571273799271</v>
          </cell>
          <cell r="M37">
            <v>95.574305128441083</v>
          </cell>
          <cell r="Q37">
            <v>15.626695815708347</v>
          </cell>
          <cell r="R37">
            <v>7.0981204462864364E-2</v>
          </cell>
          <cell r="V37">
            <v>7.4097320581072923</v>
          </cell>
          <cell r="W37">
            <v>5.7911011006529567E-2</v>
          </cell>
          <cell r="AA37">
            <v>16.784792021245362</v>
          </cell>
          <cell r="AB37">
            <v>1.9071462365363419</v>
          </cell>
          <cell r="AF37">
            <v>41.041750223192352</v>
          </cell>
          <cell r="AG37">
            <v>1.188704520993374</v>
          </cell>
          <cell r="AK37">
            <v>20.321089203810963</v>
          </cell>
          <cell r="AL37">
            <v>5.491884913419967</v>
          </cell>
          <cell r="AP37">
            <v>11.853001334933019</v>
          </cell>
          <cell r="AU37">
            <v>1.3704100293429504</v>
          </cell>
          <cell r="AV37">
            <v>5.8291911572967328</v>
          </cell>
          <cell r="AZ37">
            <v>1.8536163667413523</v>
          </cell>
          <cell r="BA37">
            <v>15.843299567611581</v>
          </cell>
          <cell r="BE37">
            <v>17.057820675434495</v>
          </cell>
          <cell r="BJ37">
            <v>22.450227888567479</v>
          </cell>
          <cell r="BK37">
            <v>7.7936802394068074</v>
          </cell>
          <cell r="BO37">
            <v>10.098696787527309</v>
          </cell>
          <cell r="BP37">
            <v>0.17668640763582188</v>
          </cell>
          <cell r="BT37">
            <v>0.34499105514179856</v>
          </cell>
          <cell r="BU37">
            <v>0.90620339533044325</v>
          </cell>
        </row>
        <row r="38">
          <cell r="G38">
            <v>0.33441054480440835</v>
          </cell>
          <cell r="H38">
            <v>12.934684879033613</v>
          </cell>
          <cell r="M38">
            <v>66.372382216661194</v>
          </cell>
          <cell r="Q38">
            <v>1.5844200902685963</v>
          </cell>
          <cell r="R38">
            <v>4.1655774964075718</v>
          </cell>
          <cell r="V38">
            <v>4.6448474768911723</v>
          </cell>
          <cell r="W38">
            <v>0.42977840209787588</v>
          </cell>
          <cell r="AA38">
            <v>2.0781487302956374</v>
          </cell>
          <cell r="AB38">
            <v>28.621241475074395</v>
          </cell>
          <cell r="AF38">
            <v>0.17591481251659538</v>
          </cell>
          <cell r="AG38">
            <v>0.21137253955652471</v>
          </cell>
          <cell r="AK38">
            <v>1.6437538731758321</v>
          </cell>
          <cell r="AL38">
            <v>8.7325710487232993</v>
          </cell>
          <cell r="AP38">
            <v>8.4510419371214383</v>
          </cell>
          <cell r="AU38">
            <v>0.29016269531835753</v>
          </cell>
          <cell r="AV38">
            <v>3.9783349453699387E-4</v>
          </cell>
          <cell r="AZ38">
            <v>3.5186639594996123</v>
          </cell>
          <cell r="BA38">
            <v>0.30656171579358571</v>
          </cell>
          <cell r="BE38">
            <v>1.4643075681357438</v>
          </cell>
          <cell r="BJ38">
            <v>55.743583947833429</v>
          </cell>
          <cell r="BK38">
            <v>3.2782249210539542</v>
          </cell>
          <cell r="BO38">
            <v>12.489215797545823</v>
          </cell>
          <cell r="BP38">
            <v>1.6696112843340105</v>
          </cell>
          <cell r="BT38">
            <v>6.3548864948523784E-2</v>
          </cell>
          <cell r="BU38">
            <v>152.05869327174841</v>
          </cell>
        </row>
        <row r="39">
          <cell r="G39">
            <v>10.600773933132478</v>
          </cell>
          <cell r="H39">
            <v>3.6421408375228439</v>
          </cell>
          <cell r="M39">
            <v>437.53269406153663</v>
          </cell>
          <cell r="Q39">
            <v>15.31024856835049</v>
          </cell>
          <cell r="R39">
            <v>1.1745209148120965</v>
          </cell>
          <cell r="V39">
            <v>1.3418756325792269</v>
          </cell>
          <cell r="W39">
            <v>16.910737458873005</v>
          </cell>
          <cell r="AA39">
            <v>7.6165212101303634</v>
          </cell>
          <cell r="AB39">
            <v>5.8408617391386706</v>
          </cell>
          <cell r="AF39">
            <v>1.0610677053284716</v>
          </cell>
          <cell r="AG39">
            <v>1.0905866097392314</v>
          </cell>
          <cell r="AK39">
            <v>11.122249168541803</v>
          </cell>
          <cell r="AL39">
            <v>8.2492093062524372</v>
          </cell>
          <cell r="AP39">
            <v>10.016548033996083</v>
          </cell>
          <cell r="AU39">
            <v>0.49373328573730901</v>
          </cell>
          <cell r="AV39">
            <v>4.9185406183406535</v>
          </cell>
          <cell r="AZ39">
            <v>4.3832837349507212</v>
          </cell>
          <cell r="BA39">
            <v>6.5479761854900902</v>
          </cell>
          <cell r="BE39">
            <v>7.7703666210490061</v>
          </cell>
          <cell r="BJ39">
            <v>142.03267521108532</v>
          </cell>
          <cell r="BK39">
            <v>2.3157692824623775</v>
          </cell>
          <cell r="BO39">
            <v>41.257731748654685</v>
          </cell>
          <cell r="BP39">
            <v>0.73736745361645439</v>
          </cell>
          <cell r="BT39">
            <v>7.2665544420491823</v>
          </cell>
          <cell r="BU39">
            <v>3.8517506973471121</v>
          </cell>
        </row>
        <row r="40">
          <cell r="G40">
            <v>8.2163528191770947</v>
          </cell>
          <cell r="H40">
            <v>9.0694819687558574</v>
          </cell>
          <cell r="M40">
            <v>34.877868519774033</v>
          </cell>
          <cell r="Q40">
            <v>0.24070663130007106</v>
          </cell>
          <cell r="R40">
            <v>1.650793624791435</v>
          </cell>
          <cell r="V40">
            <v>0.61240557540936225</v>
          </cell>
          <cell r="W40">
            <v>2.4172878290177162</v>
          </cell>
          <cell r="AA40">
            <v>0.12020803574962292</v>
          </cell>
          <cell r="AB40">
            <v>4.481632607731787</v>
          </cell>
          <cell r="AF40">
            <v>1.2949826230010473</v>
          </cell>
          <cell r="AG40">
            <v>7.5869049072548425</v>
          </cell>
          <cell r="AK40">
            <v>4.6742800875865642</v>
          </cell>
          <cell r="AL40">
            <v>20.568253991632034</v>
          </cell>
          <cell r="AP40">
            <v>8.3339513682530377</v>
          </cell>
          <cell r="AU40">
            <v>2.3871131248364059</v>
          </cell>
          <cell r="AV40">
            <v>4.2516364799999486</v>
          </cell>
          <cell r="AZ40">
            <v>2.7733774756934424</v>
          </cell>
          <cell r="BA40">
            <v>16.74810485028484</v>
          </cell>
          <cell r="BE40">
            <v>16.158150024322488</v>
          </cell>
          <cell r="BJ40">
            <v>73.012343530403186</v>
          </cell>
          <cell r="BK40">
            <v>20.498457101358003</v>
          </cell>
          <cell r="BO40">
            <v>26.540072697628425</v>
          </cell>
          <cell r="BP40">
            <v>101.08154452788021</v>
          </cell>
          <cell r="BT40">
            <v>8.2702776111589991</v>
          </cell>
          <cell r="BU40">
            <v>93.412545634374752</v>
          </cell>
        </row>
        <row r="42">
          <cell r="G42">
            <v>3.4947611799144691</v>
          </cell>
          <cell r="I42">
            <v>98.845817916650816</v>
          </cell>
          <cell r="N42">
            <v>2.3307352270059339E-2</v>
          </cell>
          <cell r="Q42">
            <v>6.6350665324309341</v>
          </cell>
          <cell r="S42">
            <v>1.6377583365559432</v>
          </cell>
          <cell r="V42">
            <v>24.707753463399659</v>
          </cell>
          <cell r="X42">
            <v>56.235765481953884</v>
          </cell>
          <cell r="AA42">
            <v>0.13537500072503525</v>
          </cell>
          <cell r="AC42">
            <v>1.6465682307039704E-3</v>
          </cell>
          <cell r="AF42">
            <v>9.1986880667522932</v>
          </cell>
          <cell r="AH42">
            <v>37.490434744739332</v>
          </cell>
          <cell r="AK42">
            <v>5.80395333417066</v>
          </cell>
          <cell r="AM42">
            <v>0.24236840986089214</v>
          </cell>
          <cell r="AP42">
            <v>0.72121224915380333</v>
          </cell>
          <cell r="AR42">
            <v>3.1973566695213633</v>
          </cell>
          <cell r="AU42">
            <v>0.83877715978991441</v>
          </cell>
          <cell r="AW42">
            <v>4.6508160236312497</v>
          </cell>
          <cell r="AZ42">
            <v>4.2898785513435307</v>
          </cell>
          <cell r="BB42">
            <v>10.570129664768217</v>
          </cell>
          <cell r="BE42">
            <v>0.91252618547513664</v>
          </cell>
          <cell r="BG42">
            <v>3.0760163658260349</v>
          </cell>
          <cell r="BJ42">
            <v>0.51112356093214273</v>
          </cell>
          <cell r="BL42">
            <v>112.41249766672904</v>
          </cell>
          <cell r="BO42">
            <v>6.6563636922778828</v>
          </cell>
          <cell r="BQ42">
            <v>82.521453408169904</v>
          </cell>
          <cell r="BT42">
            <v>12.980163294007159</v>
          </cell>
          <cell r="BV42">
            <v>3.6109136979614673</v>
          </cell>
        </row>
        <row r="43">
          <cell r="G43">
            <v>1.2496435672940753</v>
          </cell>
          <cell r="I43">
            <v>20.922708177707086</v>
          </cell>
          <cell r="N43">
            <v>20.366609048969433</v>
          </cell>
          <cell r="Q43">
            <v>2.6349458747191963</v>
          </cell>
          <cell r="S43">
            <v>6.9240912878058965E-6</v>
          </cell>
          <cell r="V43">
            <v>0.61997142131126159</v>
          </cell>
          <cell r="X43">
            <v>2.799894082080728E-2</v>
          </cell>
          <cell r="AA43">
            <v>2.0411619956240523</v>
          </cell>
          <cell r="AC43">
            <v>4.5012186111228369E-2</v>
          </cell>
          <cell r="AF43">
            <v>20.529434901017051</v>
          </cell>
          <cell r="AH43">
            <v>17.62911142813342</v>
          </cell>
          <cell r="AK43">
            <v>3.7770045682943723</v>
          </cell>
          <cell r="AM43">
            <v>1.272096633480845</v>
          </cell>
          <cell r="AP43">
            <v>0.29192205955718237</v>
          </cell>
          <cell r="AR43">
            <v>25.393901018664831</v>
          </cell>
          <cell r="AU43">
            <v>0.14772157169151884</v>
          </cell>
          <cell r="AW43">
            <v>5.4177029273340578</v>
          </cell>
          <cell r="AZ43">
            <v>1.1895510893994408</v>
          </cell>
          <cell r="BB43">
            <v>0.94024533779018982</v>
          </cell>
          <cell r="BE43">
            <v>3.8695972231552278</v>
          </cell>
          <cell r="BG43">
            <v>1.6667985533553364</v>
          </cell>
          <cell r="BJ43">
            <v>4.8646691209788466</v>
          </cell>
          <cell r="BL43">
            <v>6.9405182015420444</v>
          </cell>
          <cell r="BO43">
            <v>1.5197910536310788</v>
          </cell>
          <cell r="BQ43">
            <v>59.317264731322624</v>
          </cell>
          <cell r="BT43">
            <v>0.88997607767055043</v>
          </cell>
          <cell r="BV43">
            <v>2.1938419602575427</v>
          </cell>
        </row>
        <row r="44">
          <cell r="G44">
            <v>9.9911406837751215E-4</v>
          </cell>
          <cell r="I44">
            <v>2.6953644263468548E-2</v>
          </cell>
          <cell r="N44">
            <v>4.2862720602219158</v>
          </cell>
          <cell r="Q44">
            <v>5.770177860225794</v>
          </cell>
          <cell r="S44">
            <v>3.5040164720252349E-2</v>
          </cell>
          <cell r="V44">
            <v>0.41263709501122287</v>
          </cell>
          <cell r="X44">
            <v>2.8588009743435346E-2</v>
          </cell>
          <cell r="AA44">
            <v>0.35916268090249914</v>
          </cell>
          <cell r="AC44">
            <v>13.374896264313449</v>
          </cell>
          <cell r="AF44">
            <v>22.484819234798177</v>
          </cell>
          <cell r="AH44">
            <v>2.9809571348242425</v>
          </cell>
          <cell r="AK44">
            <v>3.0668260894750343</v>
          </cell>
          <cell r="AM44">
            <v>5.0227544896452384E-2</v>
          </cell>
          <cell r="AP44">
            <v>0.75077027008986386</v>
          </cell>
          <cell r="AR44">
            <v>8.8505772928292483</v>
          </cell>
          <cell r="AU44">
            <v>1.3070354419440447E-2</v>
          </cell>
          <cell r="AW44">
            <v>1.3580509810546961</v>
          </cell>
          <cell r="AZ44">
            <v>4.350381539274939</v>
          </cell>
          <cell r="BB44">
            <v>0.33742791256868138</v>
          </cell>
          <cell r="BE44">
            <v>0.94992497914041929</v>
          </cell>
          <cell r="BG44">
            <v>11.198344933484336</v>
          </cell>
          <cell r="BJ44">
            <v>7.2622245466636812</v>
          </cell>
          <cell r="BL44">
            <v>3.413993738384574</v>
          </cell>
          <cell r="BO44">
            <v>1.0115339898539004</v>
          </cell>
          <cell r="BQ44">
            <v>37.35937545878928</v>
          </cell>
          <cell r="BT44">
            <v>1.484627625296328</v>
          </cell>
          <cell r="BV44">
            <v>0.79297371568950592</v>
          </cell>
        </row>
        <row r="45">
          <cell r="G45">
            <v>0.67458053862550649</v>
          </cell>
          <cell r="I45">
            <v>24.835041049750895</v>
          </cell>
          <cell r="N45">
            <v>3.4689912859758625</v>
          </cell>
          <cell r="Q45">
            <v>5.9811294402940431</v>
          </cell>
          <cell r="S45">
            <v>4.3499421877847446</v>
          </cell>
          <cell r="V45">
            <v>1.8509497882052177</v>
          </cell>
          <cell r="X45">
            <v>0.69126142088313036</v>
          </cell>
          <cell r="AA45">
            <v>4.6455703090111644</v>
          </cell>
          <cell r="AC45">
            <v>6.5556583322523974</v>
          </cell>
          <cell r="AF45">
            <v>13.671822720165647</v>
          </cell>
          <cell r="AH45">
            <v>22.21879678412531</v>
          </cell>
          <cell r="AK45">
            <v>6.1413165717752394</v>
          </cell>
          <cell r="AM45">
            <v>1.7609066641944611</v>
          </cell>
          <cell r="AP45">
            <v>3.3677003090956044</v>
          </cell>
          <cell r="AR45">
            <v>0.18900416936897471</v>
          </cell>
          <cell r="AU45">
            <v>0.53356768468922666</v>
          </cell>
          <cell r="AW45">
            <v>0.73777117155973471</v>
          </cell>
          <cell r="AZ45">
            <v>0.94129393431023944</v>
          </cell>
          <cell r="BB45">
            <v>0.97308029707768939</v>
          </cell>
          <cell r="BE45">
            <v>3.2643129151775758</v>
          </cell>
          <cell r="BG45">
            <v>0.23914077154891267</v>
          </cell>
          <cell r="BJ45">
            <v>30.644508494258382</v>
          </cell>
          <cell r="BL45">
            <v>1.6705484338008985</v>
          </cell>
          <cell r="BO45">
            <v>0.62830324573826857</v>
          </cell>
          <cell r="BQ45">
            <v>22.618916846577481</v>
          </cell>
          <cell r="BT45">
            <v>4.938917895626342</v>
          </cell>
          <cell r="BV45">
            <v>1.443706151558005</v>
          </cell>
        </row>
        <row r="46">
          <cell r="G46">
            <v>3.1567995606516868</v>
          </cell>
          <cell r="I46">
            <v>28.68536953983693</v>
          </cell>
          <cell r="N46">
            <v>23.466205805092574</v>
          </cell>
          <cell r="Q46">
            <v>1.3774043361218935</v>
          </cell>
          <cell r="S46">
            <v>13.085483814266409</v>
          </cell>
          <cell r="V46">
            <v>0.79277075311723666</v>
          </cell>
          <cell r="X46">
            <v>0.52103380396469523</v>
          </cell>
          <cell r="AA46">
            <v>4.8611627174248193</v>
          </cell>
          <cell r="AC46">
            <v>4.3983203549508421</v>
          </cell>
          <cell r="AF46">
            <v>19.194667743194501</v>
          </cell>
          <cell r="AH46">
            <v>16.088145704835874</v>
          </cell>
          <cell r="AK46">
            <v>7.5889422822122929</v>
          </cell>
          <cell r="AM46">
            <v>0.71027100359202855</v>
          </cell>
          <cell r="AP46">
            <v>3.5635319053674714</v>
          </cell>
          <cell r="AR46">
            <v>0.15985118577187638</v>
          </cell>
          <cell r="AU46">
            <v>1.2891559489852261E-3</v>
          </cell>
          <cell r="AW46">
            <v>6.3108154420031006</v>
          </cell>
          <cell r="AZ46">
            <v>1.9639915657133202</v>
          </cell>
          <cell r="BB46">
            <v>3.9319483156389805</v>
          </cell>
          <cell r="BE46">
            <v>6.9610170230078943</v>
          </cell>
          <cell r="BG46">
            <v>0.50015299535401736</v>
          </cell>
          <cell r="BJ46">
            <v>11.320393465141882</v>
          </cell>
          <cell r="BL46">
            <v>27.138990610547761</v>
          </cell>
          <cell r="BO46">
            <v>0.53523536269874405</v>
          </cell>
          <cell r="BQ46">
            <v>15.352822353480786</v>
          </cell>
          <cell r="BT46">
            <v>3.5782852907057672</v>
          </cell>
          <cell r="BV46">
            <v>2.3129107739052825</v>
          </cell>
        </row>
      </sheetData>
      <sheetData sheetId="10">
        <row r="4">
          <cell r="D4">
            <v>0.75248706512042818</v>
          </cell>
          <cell r="E4">
            <v>-9.2200257981296399E-2</v>
          </cell>
        </row>
        <row r="5">
          <cell r="D5">
            <v>0.68117543859649121</v>
          </cell>
          <cell r="E5">
            <v>0.11396033537568527</v>
          </cell>
        </row>
        <row r="6">
          <cell r="D6">
            <v>0.50042521558132624</v>
          </cell>
          <cell r="E6">
            <v>0.27861980006449538</v>
          </cell>
        </row>
        <row r="7">
          <cell r="D7">
            <v>0.61959976211715728</v>
          </cell>
          <cell r="E7">
            <v>7.4180264430828771E-2</v>
          </cell>
        </row>
        <row r="8">
          <cell r="D8">
            <v>0.63300416294974726</v>
          </cell>
          <cell r="E8">
            <v>0.23136988068365047</v>
          </cell>
        </row>
        <row r="9">
          <cell r="D9">
            <v>0.66174100505501054</v>
          </cell>
          <cell r="E9">
            <v>8.768236052886165E-2</v>
          </cell>
        </row>
        <row r="10">
          <cell r="D10">
            <v>0.59388700564971764</v>
          </cell>
          <cell r="E10">
            <v>0.38161528539180906</v>
          </cell>
        </row>
        <row r="12">
          <cell r="D12">
            <v>0.68290068391317282</v>
          </cell>
          <cell r="F12">
            <v>0.17188581623550406</v>
          </cell>
        </row>
        <row r="13">
          <cell r="D13">
            <v>0.63360303300624432</v>
          </cell>
          <cell r="F13">
            <v>0.4998599464763604</v>
          </cell>
        </row>
        <row r="14">
          <cell r="D14">
            <v>0.66214808206958076</v>
          </cell>
          <cell r="F14">
            <v>0.43003687184061845</v>
          </cell>
        </row>
        <row r="15">
          <cell r="D15">
            <v>0.60983199524234322</v>
          </cell>
          <cell r="F15">
            <v>0.39899197145405879</v>
          </cell>
        </row>
        <row r="16">
          <cell r="D16">
            <v>0.6975340469818615</v>
          </cell>
          <cell r="F16">
            <v>0.1974659530181386</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MIN - Supplementary material"/>
      <sheetName val="RoB COSMIN"/>
      <sheetName val="Rater 2 cosmin - additional pap"/>
      <sheetName val="Rater 2 cosmin"/>
      <sheetName val="COSMIN - agreed ratings"/>
      <sheetName val="Sheet1"/>
    </sheetNames>
    <sheetDataSet>
      <sheetData sheetId="0" refreshError="1"/>
      <sheetData sheetId="1">
        <row r="7">
          <cell r="C7" t="str">
            <v>V</v>
          </cell>
          <cell r="D7" t="str">
            <v>V</v>
          </cell>
          <cell r="E7" t="str">
            <v>V</v>
          </cell>
          <cell r="F7" t="str">
            <v>v</v>
          </cell>
          <cell r="G7" t="str">
            <v>V</v>
          </cell>
          <cell r="H7" t="str">
            <v>V</v>
          </cell>
          <cell r="I7" t="str">
            <v>v</v>
          </cell>
          <cell r="J7" t="str">
            <v>V</v>
          </cell>
          <cell r="K7" t="str">
            <v>v</v>
          </cell>
          <cell r="L7" t="str">
            <v>V</v>
          </cell>
        </row>
        <row r="8">
          <cell r="C8" t="str">
            <v>N</v>
          </cell>
          <cell r="D8" t="str">
            <v>N</v>
          </cell>
          <cell r="E8" t="str">
            <v>N</v>
          </cell>
          <cell r="F8" t="str">
            <v>N</v>
          </cell>
          <cell r="G8" t="str">
            <v>N</v>
          </cell>
          <cell r="H8" t="str">
            <v>N</v>
          </cell>
          <cell r="I8" t="str">
            <v>N</v>
          </cell>
          <cell r="J8" t="str">
            <v>N</v>
          </cell>
          <cell r="K8" t="str">
            <v>n</v>
          </cell>
          <cell r="L8" t="str">
            <v>N</v>
          </cell>
        </row>
        <row r="9">
          <cell r="C9" t="str">
            <v>V</v>
          </cell>
          <cell r="D9" t="str">
            <v>V</v>
          </cell>
          <cell r="E9" t="str">
            <v>V</v>
          </cell>
          <cell r="F9" t="str">
            <v>V</v>
          </cell>
          <cell r="G9" t="str">
            <v>V</v>
          </cell>
          <cell r="H9" t="str">
            <v>V</v>
          </cell>
          <cell r="I9" t="str">
            <v>V</v>
          </cell>
          <cell r="J9" t="str">
            <v>V</v>
          </cell>
          <cell r="K9" t="str">
            <v>V</v>
          </cell>
          <cell r="L9" t="str">
            <v>V</v>
          </cell>
        </row>
        <row r="14">
          <cell r="C14" t="str">
            <v>V</v>
          </cell>
          <cell r="D14" t="str">
            <v>V</v>
          </cell>
          <cell r="E14" t="str">
            <v>I</v>
          </cell>
          <cell r="F14" t="str">
            <v>I</v>
          </cell>
          <cell r="G14" t="str">
            <v>I</v>
          </cell>
          <cell r="H14" t="str">
            <v>I</v>
          </cell>
          <cell r="I14" t="str">
            <v>I</v>
          </cell>
          <cell r="J14" t="str">
            <v>I</v>
          </cell>
          <cell r="K14" t="str">
            <v>V</v>
          </cell>
          <cell r="L14" t="str">
            <v>V</v>
          </cell>
        </row>
        <row r="15">
          <cell r="C15" t="str">
            <v>V</v>
          </cell>
          <cell r="D15" t="str">
            <v>I</v>
          </cell>
          <cell r="E15" t="str">
            <v>I</v>
          </cell>
          <cell r="F15" t="str">
            <v>V</v>
          </cell>
          <cell r="G15" t="str">
            <v>I</v>
          </cell>
          <cell r="H15" t="str">
            <v>V</v>
          </cell>
          <cell r="I15" t="str">
            <v>V</v>
          </cell>
          <cell r="J15" t="str">
            <v>V</v>
          </cell>
          <cell r="K15" t="str">
            <v>V</v>
          </cell>
          <cell r="L15" t="str">
            <v>V</v>
          </cell>
        </row>
        <row r="16">
          <cell r="C16" t="str">
            <v>N</v>
          </cell>
          <cell r="D16" t="str">
            <v>N</v>
          </cell>
          <cell r="E16" t="str">
            <v>N</v>
          </cell>
          <cell r="F16" t="str">
            <v>N</v>
          </cell>
          <cell r="G16" t="str">
            <v>N</v>
          </cell>
          <cell r="H16" t="str">
            <v>N</v>
          </cell>
          <cell r="I16" t="str">
            <v>N</v>
          </cell>
          <cell r="J16" t="str">
            <v>N</v>
          </cell>
          <cell r="K16" t="str">
            <v>N</v>
          </cell>
          <cell r="L16" t="str">
            <v>N</v>
          </cell>
        </row>
        <row r="17">
          <cell r="C17" t="str">
            <v>N</v>
          </cell>
          <cell r="D17" t="str">
            <v>N</v>
          </cell>
          <cell r="E17" t="str">
            <v>N</v>
          </cell>
          <cell r="F17" t="str">
            <v>N</v>
          </cell>
          <cell r="G17" t="str">
            <v>N</v>
          </cell>
          <cell r="H17" t="str">
            <v>N</v>
          </cell>
          <cell r="I17" t="str">
            <v>N</v>
          </cell>
          <cell r="J17" t="str">
            <v>N</v>
          </cell>
          <cell r="K17" t="str">
            <v>N</v>
          </cell>
          <cell r="L17" t="str">
            <v>N</v>
          </cell>
        </row>
        <row r="22">
          <cell r="C22" t="str">
            <v>N</v>
          </cell>
          <cell r="D22" t="str">
            <v>N</v>
          </cell>
          <cell r="E22" t="str">
            <v>N</v>
          </cell>
          <cell r="F22" t="str">
            <v>N</v>
          </cell>
          <cell r="G22" t="str">
            <v>N</v>
          </cell>
          <cell r="H22" t="str">
            <v>N</v>
          </cell>
          <cell r="I22" t="str">
            <v>V</v>
          </cell>
          <cell r="J22" t="str">
            <v>N</v>
          </cell>
          <cell r="K22" t="str">
            <v>N</v>
          </cell>
          <cell r="L22" t="str">
            <v>N</v>
          </cell>
        </row>
        <row r="23">
          <cell r="C23" t="str">
            <v>V</v>
          </cell>
          <cell r="D23" t="str">
            <v>N</v>
          </cell>
          <cell r="E23" t="str">
            <v>N</v>
          </cell>
          <cell r="F23" t="str">
            <v>N</v>
          </cell>
          <cell r="G23" t="str">
            <v>N</v>
          </cell>
          <cell r="H23" t="str">
            <v>N</v>
          </cell>
          <cell r="I23" t="str">
            <v>V</v>
          </cell>
          <cell r="J23" t="str">
            <v>N</v>
          </cell>
          <cell r="K23" t="str">
            <v>N</v>
          </cell>
          <cell r="L23" t="str">
            <v>V</v>
          </cell>
        </row>
        <row r="24">
          <cell r="C24" t="str">
            <v>A</v>
          </cell>
          <cell r="D24" t="str">
            <v>N</v>
          </cell>
          <cell r="E24" t="str">
            <v>A</v>
          </cell>
          <cell r="F24" t="str">
            <v>N</v>
          </cell>
          <cell r="G24" t="str">
            <v>A</v>
          </cell>
          <cell r="H24" t="str">
            <v>A</v>
          </cell>
          <cell r="I24" t="str">
            <v>A</v>
          </cell>
          <cell r="J24" t="str">
            <v>A</v>
          </cell>
          <cell r="K24" t="str">
            <v>N</v>
          </cell>
          <cell r="L24" t="str">
            <v>A</v>
          </cell>
        </row>
        <row r="25">
          <cell r="C25" t="str">
            <v>V</v>
          </cell>
          <cell r="D25" t="str">
            <v>N</v>
          </cell>
          <cell r="E25" t="str">
            <v>N</v>
          </cell>
          <cell r="F25" t="str">
            <v>N</v>
          </cell>
          <cell r="G25" t="str">
            <v>N</v>
          </cell>
          <cell r="H25" t="str">
            <v>N</v>
          </cell>
          <cell r="I25" t="str">
            <v>V</v>
          </cell>
          <cell r="J25" t="str">
            <v>N</v>
          </cell>
          <cell r="K25" t="str">
            <v>N</v>
          </cell>
          <cell r="L25" t="str">
            <v>V</v>
          </cell>
        </row>
        <row r="26">
          <cell r="C26" t="str">
            <v>N</v>
          </cell>
          <cell r="D26" t="str">
            <v>N</v>
          </cell>
          <cell r="E26" t="str">
            <v>N</v>
          </cell>
          <cell r="F26" t="str">
            <v>N</v>
          </cell>
          <cell r="G26" t="str">
            <v>N</v>
          </cell>
          <cell r="H26" t="str">
            <v>N</v>
          </cell>
          <cell r="I26" t="str">
            <v>N</v>
          </cell>
          <cell r="J26" t="str">
            <v>N</v>
          </cell>
          <cell r="K26" t="str">
            <v>N</v>
          </cell>
          <cell r="L26" t="str">
            <v>N</v>
          </cell>
        </row>
        <row r="27">
          <cell r="C27" t="str">
            <v>N</v>
          </cell>
          <cell r="D27" t="str">
            <v>N</v>
          </cell>
          <cell r="E27" t="str">
            <v>N</v>
          </cell>
          <cell r="F27" t="str">
            <v>N</v>
          </cell>
          <cell r="G27" t="str">
            <v>N</v>
          </cell>
          <cell r="H27" t="str">
            <v>N</v>
          </cell>
          <cell r="I27" t="str">
            <v>N</v>
          </cell>
          <cell r="J27" t="str">
            <v>N</v>
          </cell>
          <cell r="K27" t="str">
            <v>N</v>
          </cell>
          <cell r="L27" t="str">
            <v>N</v>
          </cell>
        </row>
        <row r="28">
          <cell r="C28" t="str">
            <v>N</v>
          </cell>
          <cell r="D28" t="str">
            <v>N</v>
          </cell>
          <cell r="E28" t="str">
            <v>N</v>
          </cell>
          <cell r="F28" t="str">
            <v>N</v>
          </cell>
          <cell r="G28" t="str">
            <v>N</v>
          </cell>
          <cell r="H28" t="str">
            <v>N</v>
          </cell>
          <cell r="I28" t="str">
            <v>N</v>
          </cell>
          <cell r="J28" t="str">
            <v>N</v>
          </cell>
          <cell r="K28" t="str">
            <v>N</v>
          </cell>
          <cell r="L28" t="str">
            <v>N</v>
          </cell>
        </row>
      </sheetData>
      <sheetData sheetId="2">
        <row r="7">
          <cell r="H7" t="str">
            <v>V</v>
          </cell>
          <cell r="L7" t="str">
            <v>V</v>
          </cell>
        </row>
        <row r="8">
          <cell r="H8" t="str">
            <v>N</v>
          </cell>
          <cell r="L8" t="str">
            <v>N</v>
          </cell>
        </row>
        <row r="9">
          <cell r="H9" t="str">
            <v>V</v>
          </cell>
          <cell r="L9" t="str">
            <v>V</v>
          </cell>
        </row>
        <row r="14">
          <cell r="H14" t="str">
            <v>I</v>
          </cell>
          <cell r="L14" t="str">
            <v>V</v>
          </cell>
        </row>
        <row r="15">
          <cell r="H15" t="str">
            <v>V</v>
          </cell>
          <cell r="L15" t="str">
            <v>V</v>
          </cell>
        </row>
        <row r="16">
          <cell r="H16" t="str">
            <v>N</v>
          </cell>
          <cell r="L16" t="str">
            <v>N</v>
          </cell>
        </row>
        <row r="17">
          <cell r="H17" t="str">
            <v>N</v>
          </cell>
          <cell r="L17" t="str">
            <v>N</v>
          </cell>
        </row>
        <row r="22">
          <cell r="H22" t="str">
            <v>N</v>
          </cell>
          <cell r="L22" t="str">
            <v>N</v>
          </cell>
        </row>
        <row r="23">
          <cell r="H23" t="str">
            <v>N</v>
          </cell>
          <cell r="L23" t="str">
            <v>V</v>
          </cell>
        </row>
        <row r="24">
          <cell r="H24" t="str">
            <v>A</v>
          </cell>
          <cell r="L24" t="str">
            <v>A</v>
          </cell>
        </row>
        <row r="25">
          <cell r="H25" t="str">
            <v>N</v>
          </cell>
          <cell r="L25" t="str">
            <v>V</v>
          </cell>
        </row>
        <row r="26">
          <cell r="H26" t="str">
            <v>N</v>
          </cell>
          <cell r="L26" t="str">
            <v>N</v>
          </cell>
        </row>
        <row r="27">
          <cell r="H27" t="str">
            <v>N</v>
          </cell>
          <cell r="L27" t="str">
            <v>N</v>
          </cell>
        </row>
        <row r="28">
          <cell r="H28" t="str">
            <v>N</v>
          </cell>
          <cell r="L28" t="str">
            <v>N</v>
          </cell>
        </row>
      </sheetData>
      <sheetData sheetId="3">
        <row r="7">
          <cell r="C7" t="str">
            <v>V</v>
          </cell>
          <cell r="D7" t="str">
            <v>V</v>
          </cell>
          <cell r="E7" t="str">
            <v>V</v>
          </cell>
          <cell r="F7" t="str">
            <v>V</v>
          </cell>
          <cell r="G7" t="str">
            <v>V</v>
          </cell>
          <cell r="H7" t="str">
            <v>V</v>
          </cell>
          <cell r="I7" t="str">
            <v>V</v>
          </cell>
          <cell r="J7" t="str">
            <v>V</v>
          </cell>
          <cell r="K7" t="str">
            <v>V</v>
          </cell>
        </row>
        <row r="8">
          <cell r="C8" t="str">
            <v>N</v>
          </cell>
          <cell r="D8" t="str">
            <v>N</v>
          </cell>
          <cell r="E8" t="str">
            <v>N</v>
          </cell>
          <cell r="F8" t="str">
            <v>N</v>
          </cell>
          <cell r="G8" t="str">
            <v>N</v>
          </cell>
          <cell r="H8" t="str">
            <v>N</v>
          </cell>
          <cell r="I8" t="str">
            <v>N</v>
          </cell>
          <cell r="J8" t="str">
            <v>N</v>
          </cell>
          <cell r="K8" t="str">
            <v>N</v>
          </cell>
        </row>
        <row r="9">
          <cell r="C9" t="str">
            <v>V</v>
          </cell>
          <cell r="D9" t="str">
            <v>V</v>
          </cell>
          <cell r="E9" t="str">
            <v>V</v>
          </cell>
          <cell r="F9" t="str">
            <v>V</v>
          </cell>
          <cell r="G9" t="str">
            <v>V</v>
          </cell>
          <cell r="H9" t="str">
            <v>V</v>
          </cell>
          <cell r="I9" t="str">
            <v>V</v>
          </cell>
          <cell r="J9" t="str">
            <v>V</v>
          </cell>
          <cell r="K9" t="str">
            <v>V</v>
          </cell>
        </row>
        <row r="14">
          <cell r="C14" t="str">
            <v>V</v>
          </cell>
          <cell r="D14" t="str">
            <v>V</v>
          </cell>
          <cell r="E14" t="str">
            <v>I</v>
          </cell>
          <cell r="F14" t="str">
            <v>I</v>
          </cell>
          <cell r="G14" t="str">
            <v>I</v>
          </cell>
          <cell r="H14" t="str">
            <v>I</v>
          </cell>
          <cell r="I14" t="str">
            <v>I</v>
          </cell>
          <cell r="J14" t="str">
            <v>I</v>
          </cell>
          <cell r="K14" t="str">
            <v>V</v>
          </cell>
        </row>
        <row r="15">
          <cell r="C15" t="str">
            <v>V</v>
          </cell>
          <cell r="D15" t="str">
            <v>V</v>
          </cell>
          <cell r="E15" t="str">
            <v>I</v>
          </cell>
          <cell r="F15" t="str">
            <v>V</v>
          </cell>
          <cell r="G15" t="str">
            <v>I</v>
          </cell>
          <cell r="H15" t="str">
            <v>V</v>
          </cell>
          <cell r="I15" t="str">
            <v>V</v>
          </cell>
          <cell r="J15" t="str">
            <v>V</v>
          </cell>
          <cell r="K15" t="str">
            <v>V</v>
          </cell>
        </row>
        <row r="16">
          <cell r="C16" t="str">
            <v>N</v>
          </cell>
          <cell r="D16" t="str">
            <v>N</v>
          </cell>
          <cell r="E16" t="str">
            <v>N</v>
          </cell>
          <cell r="F16" t="str">
            <v>N</v>
          </cell>
          <cell r="G16" t="str">
            <v>N</v>
          </cell>
          <cell r="H16" t="str">
            <v>N</v>
          </cell>
          <cell r="I16" t="str">
            <v>N</v>
          </cell>
          <cell r="J16" t="str">
            <v>N</v>
          </cell>
          <cell r="K16" t="str">
            <v>N</v>
          </cell>
        </row>
        <row r="17">
          <cell r="C17" t="str">
            <v>N</v>
          </cell>
          <cell r="D17" t="str">
            <v>N</v>
          </cell>
          <cell r="E17" t="str">
            <v>N</v>
          </cell>
          <cell r="F17" t="str">
            <v>N</v>
          </cell>
          <cell r="G17" t="str">
            <v>N</v>
          </cell>
          <cell r="H17" t="str">
            <v>N</v>
          </cell>
          <cell r="I17" t="str">
            <v>N</v>
          </cell>
          <cell r="J17" t="str">
            <v>N</v>
          </cell>
          <cell r="K17" t="str">
            <v>N</v>
          </cell>
        </row>
        <row r="22">
          <cell r="C22" t="str">
            <v>N</v>
          </cell>
          <cell r="D22" t="str">
            <v>N</v>
          </cell>
          <cell r="E22" t="str">
            <v>N</v>
          </cell>
          <cell r="F22" t="str">
            <v>N</v>
          </cell>
          <cell r="G22" t="str">
            <v>N</v>
          </cell>
          <cell r="H22" t="str">
            <v>N</v>
          </cell>
          <cell r="I22" t="str">
            <v>V</v>
          </cell>
          <cell r="J22" t="str">
            <v>N</v>
          </cell>
          <cell r="K22" t="str">
            <v>N</v>
          </cell>
        </row>
        <row r="23">
          <cell r="C23" t="str">
            <v>V</v>
          </cell>
          <cell r="D23" t="str">
            <v>N</v>
          </cell>
          <cell r="E23" t="str">
            <v>N</v>
          </cell>
          <cell r="F23" t="str">
            <v>N</v>
          </cell>
          <cell r="G23" t="str">
            <v>N</v>
          </cell>
          <cell r="H23" t="str">
            <v>N</v>
          </cell>
          <cell r="I23" t="str">
            <v>V</v>
          </cell>
          <cell r="J23" t="str">
            <v>N</v>
          </cell>
          <cell r="K23" t="str">
            <v>N</v>
          </cell>
        </row>
        <row r="24">
          <cell r="C24" t="str">
            <v>A</v>
          </cell>
          <cell r="D24" t="str">
            <v>N</v>
          </cell>
          <cell r="E24" t="str">
            <v>A</v>
          </cell>
          <cell r="F24" t="str">
            <v>A</v>
          </cell>
          <cell r="G24" t="str">
            <v>N</v>
          </cell>
          <cell r="H24" t="str">
            <v>A</v>
          </cell>
          <cell r="I24" t="str">
            <v>A</v>
          </cell>
          <cell r="J24" t="str">
            <v>A</v>
          </cell>
          <cell r="K24" t="str">
            <v>N</v>
          </cell>
        </row>
        <row r="25">
          <cell r="C25" t="str">
            <v>V</v>
          </cell>
          <cell r="D25" t="str">
            <v>N</v>
          </cell>
          <cell r="E25" t="str">
            <v>N</v>
          </cell>
          <cell r="F25" t="str">
            <v>N</v>
          </cell>
          <cell r="G25" t="str">
            <v>N</v>
          </cell>
          <cell r="H25" t="str">
            <v>N</v>
          </cell>
          <cell r="I25" t="str">
            <v>V</v>
          </cell>
          <cell r="J25" t="str">
            <v>N</v>
          </cell>
          <cell r="K25" t="str">
            <v>N</v>
          </cell>
        </row>
        <row r="26">
          <cell r="C26" t="str">
            <v>N</v>
          </cell>
          <cell r="D26" t="str">
            <v>N</v>
          </cell>
          <cell r="E26" t="str">
            <v>N</v>
          </cell>
          <cell r="F26" t="str">
            <v>N</v>
          </cell>
          <cell r="G26" t="str">
            <v>N</v>
          </cell>
          <cell r="H26" t="str">
            <v>N</v>
          </cell>
          <cell r="I26" t="str">
            <v>N</v>
          </cell>
          <cell r="J26" t="str">
            <v>N</v>
          </cell>
          <cell r="K26" t="str">
            <v>N</v>
          </cell>
        </row>
        <row r="27">
          <cell r="C27" t="str">
            <v>N</v>
          </cell>
          <cell r="D27" t="str">
            <v>N</v>
          </cell>
          <cell r="E27" t="str">
            <v>N</v>
          </cell>
          <cell r="F27" t="str">
            <v>N</v>
          </cell>
          <cell r="G27" t="str">
            <v>N</v>
          </cell>
          <cell r="H27" t="str">
            <v>N</v>
          </cell>
          <cell r="I27" t="str">
            <v>N</v>
          </cell>
          <cell r="J27" t="str">
            <v>N</v>
          </cell>
          <cell r="K27" t="str">
            <v>N</v>
          </cell>
        </row>
        <row r="28">
          <cell r="C28" t="str">
            <v>N</v>
          </cell>
          <cell r="D28" t="str">
            <v>N</v>
          </cell>
          <cell r="E28" t="str">
            <v>N</v>
          </cell>
          <cell r="F28" t="str">
            <v>N</v>
          </cell>
          <cell r="G28" t="str">
            <v>N</v>
          </cell>
          <cell r="H28" t="str">
            <v>N</v>
          </cell>
          <cell r="I28" t="str">
            <v>N</v>
          </cell>
          <cell r="J28" t="str">
            <v>N</v>
          </cell>
          <cell r="K28" t="str">
            <v>N</v>
          </cell>
        </row>
      </sheetData>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Mark H Freeston" id="{23406236-8210-4E62-9A27-F2EB246D320F}" userId="S::nmhf@newcastle.ac.uk::3286dbb5-cafe-4bd8-806c-457223dc46c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V4" dT="2021-02-24T23:05:57.50" personId="{23406236-8210-4E62-9A27-F2EB246D320F}" id="{FAEA521F-572D-4876-9590-1FC9647E35F2}">
    <text xml:space="preserve">N Not right for thsi?
</text>
  </threadedComment>
  <threadedComment ref="BI11" dT="2021-02-24T23:08:04.05" personId="{23406236-8210-4E62-9A27-F2EB246D320F}" id="{38188E13-FB21-41D7-8732-0A2006933D13}">
    <text>Needs formulae added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36004-8D16-4D2A-80DE-D74EA86E57E6}">
  <dimension ref="A1:AB24"/>
  <sheetViews>
    <sheetView zoomScale="90" zoomScaleNormal="90" workbookViewId="0">
      <pane xSplit="2" ySplit="1" topLeftCell="C2" activePane="bottomRight" state="frozen"/>
      <selection pane="bottomRight"/>
      <selection pane="bottomLeft"/>
      <selection pane="topRight"/>
    </sheetView>
  </sheetViews>
  <sheetFormatPr defaultRowHeight="15"/>
  <cols>
    <col min="1" max="1" width="20" customWidth="1"/>
    <col min="2" max="2" width="9.85546875" style="101" customWidth="1"/>
    <col min="3" max="3" width="27.7109375" style="101" customWidth="1"/>
    <col min="4" max="4" width="46.5703125" customWidth="1"/>
    <col min="5" max="5" width="21.85546875" customWidth="1"/>
    <col min="6" max="7" width="19.5703125" customWidth="1"/>
    <col min="8" max="8" width="23.5703125" customWidth="1"/>
    <col min="9" max="9" width="20.42578125" customWidth="1"/>
    <col min="10" max="12" width="20.85546875" customWidth="1"/>
    <col min="13" max="13" width="20.85546875" style="137" customWidth="1"/>
    <col min="14" max="14" width="26.42578125" customWidth="1"/>
    <col min="15" max="15" width="57.28515625" customWidth="1"/>
    <col min="16" max="19" width="32.5703125" customWidth="1"/>
    <col min="20" max="20" width="57.28515625" customWidth="1"/>
    <col min="21" max="21" width="131" customWidth="1"/>
    <col min="22" max="22" width="24.140625" customWidth="1"/>
    <col min="23" max="23" width="27.7109375" customWidth="1"/>
    <col min="24" max="24" width="20" customWidth="1"/>
  </cols>
  <sheetData>
    <row r="1" spans="1:28" ht="36.75" customHeight="1">
      <c r="A1" s="1" t="s">
        <v>0</v>
      </c>
      <c r="B1" s="98" t="s">
        <v>1</v>
      </c>
      <c r="C1" s="98" t="s">
        <v>2</v>
      </c>
      <c r="D1" s="1" t="s">
        <v>3</v>
      </c>
      <c r="E1" s="1" t="s">
        <v>4</v>
      </c>
      <c r="F1" s="1" t="s">
        <v>5</v>
      </c>
      <c r="G1" s="1" t="s">
        <v>6</v>
      </c>
      <c r="H1" s="1" t="s">
        <v>7</v>
      </c>
      <c r="I1" s="1" t="s">
        <v>8</v>
      </c>
      <c r="J1" s="1" t="s">
        <v>9</v>
      </c>
      <c r="K1" s="1" t="s">
        <v>10</v>
      </c>
      <c r="L1" s="1" t="s">
        <v>11</v>
      </c>
      <c r="M1" s="150" t="s">
        <v>12</v>
      </c>
      <c r="N1" s="1" t="s">
        <v>13</v>
      </c>
      <c r="O1" s="1" t="s">
        <v>14</v>
      </c>
      <c r="P1" s="1" t="s">
        <v>15</v>
      </c>
      <c r="Q1" s="1" t="s">
        <v>16</v>
      </c>
      <c r="R1" s="1" t="s">
        <v>17</v>
      </c>
      <c r="S1" s="1" t="s">
        <v>18</v>
      </c>
      <c r="T1" s="1" t="s">
        <v>19</v>
      </c>
      <c r="U1" s="1" t="s">
        <v>20</v>
      </c>
      <c r="V1" s="1" t="s">
        <v>21</v>
      </c>
      <c r="W1" s="1" t="s">
        <v>22</v>
      </c>
      <c r="X1" s="1" t="s">
        <v>23</v>
      </c>
      <c r="Y1" s="1"/>
      <c r="Z1" s="1"/>
      <c r="AA1" s="1"/>
      <c r="AB1" s="1"/>
    </row>
    <row r="2" spans="1:28">
      <c r="A2" t="s">
        <v>24</v>
      </c>
      <c r="B2" s="101">
        <f>'[1]Loadings resolved - weighted M'!G1</f>
        <v>1</v>
      </c>
      <c r="C2" s="101" t="str">
        <f>'[1]Other extracted data'!A5</f>
        <v>Bottesi 2019</v>
      </c>
      <c r="D2" s="138" t="s">
        <v>25</v>
      </c>
      <c r="E2" t="s">
        <v>26</v>
      </c>
      <c r="F2" t="s">
        <v>27</v>
      </c>
      <c r="G2" t="s">
        <v>28</v>
      </c>
      <c r="H2" t="s">
        <v>29</v>
      </c>
      <c r="I2">
        <v>761</v>
      </c>
      <c r="J2" t="s">
        <v>30</v>
      </c>
      <c r="K2" t="s">
        <v>31</v>
      </c>
      <c r="L2">
        <v>811</v>
      </c>
      <c r="M2" s="137">
        <v>0.56599999999999995</v>
      </c>
      <c r="N2" t="s">
        <v>32</v>
      </c>
      <c r="O2" t="s">
        <v>33</v>
      </c>
      <c r="P2" t="s">
        <v>34</v>
      </c>
      <c r="Q2" t="s">
        <v>34</v>
      </c>
      <c r="R2" t="s">
        <v>34</v>
      </c>
      <c r="S2" s="139" t="s">
        <v>35</v>
      </c>
      <c r="T2" t="s">
        <v>36</v>
      </c>
      <c r="U2" s="140" t="s">
        <v>37</v>
      </c>
      <c r="V2" s="141" t="s">
        <v>34</v>
      </c>
      <c r="W2" s="140" t="s">
        <v>38</v>
      </c>
      <c r="X2" t="s">
        <v>39</v>
      </c>
    </row>
    <row r="3" spans="1:28">
      <c r="A3" t="s">
        <v>24</v>
      </c>
      <c r="B3" s="101">
        <v>2</v>
      </c>
      <c r="C3" s="101" t="str">
        <f>'[1]Other extracted data'!A6</f>
        <v>Bottesi 2019</v>
      </c>
      <c r="D3" s="138" t="s">
        <v>40</v>
      </c>
      <c r="E3" t="s">
        <v>26</v>
      </c>
      <c r="F3" t="s">
        <v>27</v>
      </c>
      <c r="G3" t="s">
        <v>28</v>
      </c>
      <c r="H3" t="s">
        <v>41</v>
      </c>
      <c r="I3">
        <v>163</v>
      </c>
      <c r="J3" t="s">
        <v>42</v>
      </c>
      <c r="K3" t="s">
        <v>43</v>
      </c>
      <c r="L3">
        <v>162</v>
      </c>
      <c r="M3" s="137">
        <v>0.71599999999999997</v>
      </c>
      <c r="N3" t="s">
        <v>32</v>
      </c>
      <c r="O3" t="s">
        <v>17</v>
      </c>
      <c r="P3" t="s">
        <v>32</v>
      </c>
      <c r="Q3" t="s">
        <v>32</v>
      </c>
      <c r="R3" t="s">
        <v>34</v>
      </c>
      <c r="T3" s="142" t="s">
        <v>44</v>
      </c>
      <c r="U3" t="s">
        <v>37</v>
      </c>
    </row>
    <row r="4" spans="1:28">
      <c r="A4" t="s">
        <v>45</v>
      </c>
      <c r="B4" s="101">
        <v>3</v>
      </c>
      <c r="C4" s="101" t="str">
        <f>'[1]Other extracted data'!A7</f>
        <v>Cornacchio 2018</v>
      </c>
      <c r="D4" s="143" t="s">
        <v>46</v>
      </c>
      <c r="E4" t="s">
        <v>47</v>
      </c>
      <c r="F4" t="s">
        <v>48</v>
      </c>
      <c r="G4" t="s">
        <v>49</v>
      </c>
      <c r="H4" t="s">
        <v>50</v>
      </c>
      <c r="I4">
        <v>354</v>
      </c>
      <c r="J4" t="s">
        <v>51</v>
      </c>
      <c r="K4" t="s">
        <v>52</v>
      </c>
      <c r="L4">
        <v>368</v>
      </c>
      <c r="M4" s="137">
        <v>0.48899999999999999</v>
      </c>
      <c r="N4" t="s">
        <v>32</v>
      </c>
      <c r="O4" t="s">
        <v>53</v>
      </c>
      <c r="P4" t="s">
        <v>34</v>
      </c>
      <c r="Q4" t="s">
        <v>34</v>
      </c>
      <c r="R4" t="s">
        <v>34</v>
      </c>
      <c r="T4" t="s">
        <v>54</v>
      </c>
      <c r="U4" s="144" t="s">
        <v>55</v>
      </c>
      <c r="V4" s="145" t="s">
        <v>34</v>
      </c>
      <c r="W4" s="145" t="s">
        <v>34</v>
      </c>
      <c r="X4" t="s">
        <v>56</v>
      </c>
    </row>
    <row r="5" spans="1:28">
      <c r="A5" t="s">
        <v>45</v>
      </c>
      <c r="B5" s="101">
        <v>4</v>
      </c>
      <c r="C5" s="101" t="s">
        <v>45</v>
      </c>
      <c r="D5" s="143" t="s">
        <v>46</v>
      </c>
      <c r="E5" t="s">
        <v>57</v>
      </c>
      <c r="F5" t="s">
        <v>48</v>
      </c>
      <c r="G5" t="s">
        <v>58</v>
      </c>
      <c r="H5" t="s">
        <v>59</v>
      </c>
      <c r="I5">
        <v>353</v>
      </c>
      <c r="N5" t="s">
        <v>32</v>
      </c>
      <c r="P5" t="s">
        <v>34</v>
      </c>
      <c r="Q5" t="s">
        <v>34</v>
      </c>
      <c r="R5" t="s">
        <v>34</v>
      </c>
      <c r="T5" t="s">
        <v>54</v>
      </c>
      <c r="U5" s="144"/>
      <c r="V5" s="145"/>
      <c r="W5" s="145"/>
    </row>
    <row r="6" spans="1:28">
      <c r="A6" s="146" t="s">
        <v>60</v>
      </c>
      <c r="B6" s="102">
        <v>5</v>
      </c>
      <c r="C6" s="101" t="str">
        <f>'[1]Other extracted data'!A8</f>
        <v>Cornacchio 2018</v>
      </c>
      <c r="D6" s="147" t="s">
        <v>61</v>
      </c>
      <c r="E6" t="s">
        <v>62</v>
      </c>
      <c r="F6" t="s">
        <v>48</v>
      </c>
      <c r="G6" t="s">
        <v>63</v>
      </c>
      <c r="H6" s="142" t="s">
        <v>64</v>
      </c>
      <c r="I6">
        <v>284</v>
      </c>
      <c r="J6" t="s">
        <v>65</v>
      </c>
      <c r="K6" s="142" t="s">
        <v>66</v>
      </c>
      <c r="L6">
        <v>285</v>
      </c>
      <c r="M6" s="137">
        <v>0.70499999999999996</v>
      </c>
      <c r="N6" t="s">
        <v>67</v>
      </c>
      <c r="O6" s="148" t="s">
        <v>68</v>
      </c>
      <c r="P6" s="148" t="s">
        <v>34</v>
      </c>
      <c r="Q6" s="148" t="s">
        <v>34</v>
      </c>
      <c r="R6" s="148" t="s">
        <v>34</v>
      </c>
      <c r="S6" s="147"/>
      <c r="T6" t="s">
        <v>54</v>
      </c>
      <c r="U6" s="144" t="s">
        <v>69</v>
      </c>
      <c r="V6" s="145" t="s">
        <v>34</v>
      </c>
      <c r="W6" s="144" t="s">
        <v>70</v>
      </c>
      <c r="X6" t="s">
        <v>71</v>
      </c>
    </row>
    <row r="7" spans="1:28">
      <c r="A7" s="146" t="s">
        <v>60</v>
      </c>
      <c r="B7" s="102">
        <v>6</v>
      </c>
      <c r="C7" s="101" t="str">
        <f>'[1]Other extracted data'!A9</f>
        <v>Huntley 2020</v>
      </c>
      <c r="D7" s="147" t="s">
        <v>61</v>
      </c>
      <c r="E7" t="s">
        <v>62</v>
      </c>
      <c r="F7" t="s">
        <v>48</v>
      </c>
      <c r="G7" t="s">
        <v>63</v>
      </c>
      <c r="H7" s="142" t="s">
        <v>72</v>
      </c>
      <c r="I7">
        <v>463</v>
      </c>
      <c r="J7" t="s">
        <v>73</v>
      </c>
      <c r="K7" t="s">
        <v>74</v>
      </c>
      <c r="L7">
        <v>463</v>
      </c>
      <c r="M7" s="137">
        <v>0.55900000000000005</v>
      </c>
      <c r="N7" t="s">
        <v>67</v>
      </c>
      <c r="O7" s="148" t="s">
        <v>68</v>
      </c>
      <c r="P7" s="148" t="s">
        <v>34</v>
      </c>
      <c r="Q7" s="148" t="s">
        <v>34</v>
      </c>
      <c r="R7" s="148" t="s">
        <v>34</v>
      </c>
      <c r="S7" s="147"/>
      <c r="T7" t="s">
        <v>54</v>
      </c>
      <c r="U7" s="144" t="s">
        <v>69</v>
      </c>
      <c r="V7" s="144"/>
      <c r="W7" s="144"/>
    </row>
    <row r="8" spans="1:28">
      <c r="A8" t="s">
        <v>75</v>
      </c>
      <c r="B8" s="101">
        <v>7</v>
      </c>
      <c r="C8" s="101" t="str">
        <f>'[1]Other extracted data'!A10</f>
        <v>Huntley 2020</v>
      </c>
      <c r="D8" s="147" t="s">
        <v>76</v>
      </c>
      <c r="E8" t="s">
        <v>26</v>
      </c>
      <c r="F8" t="s">
        <v>77</v>
      </c>
      <c r="G8" t="s">
        <v>78</v>
      </c>
      <c r="H8" s="142" t="s">
        <v>41</v>
      </c>
      <c r="I8">
        <v>360</v>
      </c>
      <c r="J8" t="s">
        <v>79</v>
      </c>
      <c r="K8" t="s">
        <v>80</v>
      </c>
      <c r="L8">
        <v>360</v>
      </c>
      <c r="M8" s="137">
        <v>0.73899999999999999</v>
      </c>
      <c r="N8" t="s">
        <v>32</v>
      </c>
      <c r="O8" t="s">
        <v>81</v>
      </c>
      <c r="P8" t="s">
        <v>34</v>
      </c>
      <c r="Q8" t="s">
        <v>34</v>
      </c>
      <c r="R8" t="s">
        <v>34</v>
      </c>
      <c r="S8" s="142" t="s">
        <v>82</v>
      </c>
      <c r="T8" t="s">
        <v>83</v>
      </c>
      <c r="U8" s="149" t="s">
        <v>84</v>
      </c>
      <c r="V8" s="142" t="s">
        <v>85</v>
      </c>
      <c r="W8" s="142" t="s">
        <v>86</v>
      </c>
      <c r="X8" t="s">
        <v>87</v>
      </c>
    </row>
    <row r="9" spans="1:28">
      <c r="A9" t="s">
        <v>75</v>
      </c>
      <c r="B9" s="101">
        <v>8</v>
      </c>
      <c r="C9" s="101" t="str">
        <f>'[1]Other extracted data'!A11</f>
        <v>Lauriola 2016</v>
      </c>
      <c r="D9" s="147" t="s">
        <v>76</v>
      </c>
      <c r="E9" t="s">
        <v>26</v>
      </c>
      <c r="F9" t="s">
        <v>77</v>
      </c>
      <c r="G9" t="s">
        <v>78</v>
      </c>
      <c r="H9" s="142" t="s">
        <v>41</v>
      </c>
      <c r="I9">
        <v>167</v>
      </c>
      <c r="J9" t="s">
        <v>88</v>
      </c>
      <c r="K9" t="s">
        <v>89</v>
      </c>
      <c r="L9">
        <v>167</v>
      </c>
      <c r="M9" s="137">
        <v>0.68899999999999995</v>
      </c>
      <c r="N9" t="s">
        <v>32</v>
      </c>
      <c r="O9" t="s">
        <v>81</v>
      </c>
      <c r="P9" t="s">
        <v>34</v>
      </c>
      <c r="Q9" t="s">
        <v>34</v>
      </c>
      <c r="R9" t="s">
        <v>34</v>
      </c>
      <c r="S9" s="142" t="s">
        <v>82</v>
      </c>
      <c r="T9" t="s">
        <v>83</v>
      </c>
      <c r="U9" t="s">
        <v>90</v>
      </c>
    </row>
    <row r="10" spans="1:28" ht="20.25" customHeight="1">
      <c r="A10" t="s">
        <v>75</v>
      </c>
      <c r="B10" s="101">
        <v>9</v>
      </c>
      <c r="C10" s="101" t="str">
        <f>'[1]Other extracted data'!A12</f>
        <v>Lauriola 2016</v>
      </c>
      <c r="D10" s="147" t="s">
        <v>76</v>
      </c>
      <c r="E10" t="s">
        <v>26</v>
      </c>
      <c r="F10" t="s">
        <v>77</v>
      </c>
      <c r="G10" t="s">
        <v>78</v>
      </c>
      <c r="H10" s="142" t="s">
        <v>41</v>
      </c>
      <c r="I10">
        <v>82</v>
      </c>
      <c r="J10" t="s">
        <v>91</v>
      </c>
      <c r="K10" t="s">
        <v>92</v>
      </c>
      <c r="L10">
        <v>82</v>
      </c>
      <c r="M10" s="137">
        <v>0.89</v>
      </c>
      <c r="N10" t="s">
        <v>32</v>
      </c>
      <c r="O10" t="s">
        <v>81</v>
      </c>
      <c r="P10" t="s">
        <v>34</v>
      </c>
      <c r="Q10" t="s">
        <v>34</v>
      </c>
      <c r="R10" t="s">
        <v>34</v>
      </c>
      <c r="S10" s="142" t="s">
        <v>82</v>
      </c>
      <c r="T10" t="s">
        <v>83</v>
      </c>
      <c r="U10" s="146" t="s">
        <v>90</v>
      </c>
    </row>
    <row r="11" spans="1:28">
      <c r="A11" t="s">
        <v>93</v>
      </c>
      <c r="B11" s="101">
        <v>10</v>
      </c>
      <c r="C11" s="101" t="str">
        <f>'[1]Other extracted data'!A13</f>
        <v>Lauriola 2016</v>
      </c>
      <c r="D11" s="147" t="s">
        <v>94</v>
      </c>
      <c r="E11" t="s">
        <v>47</v>
      </c>
      <c r="F11" t="s">
        <v>48</v>
      </c>
      <c r="G11" t="s">
        <v>63</v>
      </c>
      <c r="H11" s="142" t="s">
        <v>95</v>
      </c>
      <c r="I11">
        <v>374</v>
      </c>
      <c r="J11" t="s">
        <v>96</v>
      </c>
      <c r="K11" t="s">
        <v>97</v>
      </c>
      <c r="L11">
        <v>374</v>
      </c>
      <c r="M11" s="137">
        <v>0.54300000000000004</v>
      </c>
      <c r="N11" t="s">
        <v>32</v>
      </c>
      <c r="O11" t="s">
        <v>98</v>
      </c>
      <c r="P11" t="s">
        <v>34</v>
      </c>
      <c r="Q11" t="s">
        <v>34</v>
      </c>
      <c r="R11" t="s">
        <v>34</v>
      </c>
      <c r="S11" s="142"/>
      <c r="T11" t="s">
        <v>54</v>
      </c>
      <c r="U11" s="142" t="s">
        <v>99</v>
      </c>
      <c r="V11" s="142" t="s">
        <v>100</v>
      </c>
      <c r="W11" t="s">
        <v>34</v>
      </c>
      <c r="X11" t="s">
        <v>101</v>
      </c>
    </row>
    <row r="12" spans="1:28">
      <c r="A12" t="s">
        <v>102</v>
      </c>
      <c r="B12" s="101">
        <v>11</v>
      </c>
      <c r="C12" s="101" t="str">
        <f>'[1]Other extracted data'!A14</f>
        <v>Saulnier 2019</v>
      </c>
      <c r="D12" s="147" t="s">
        <v>103</v>
      </c>
      <c r="E12" t="s">
        <v>104</v>
      </c>
      <c r="F12" t="s">
        <v>48</v>
      </c>
      <c r="G12" t="s">
        <v>63</v>
      </c>
      <c r="H12" t="s">
        <v>41</v>
      </c>
      <c r="I12">
        <v>506</v>
      </c>
      <c r="J12" t="s">
        <v>105</v>
      </c>
      <c r="K12" t="s">
        <v>106</v>
      </c>
      <c r="L12">
        <v>506</v>
      </c>
      <c r="M12" s="137">
        <v>0.8</v>
      </c>
      <c r="N12" t="s">
        <v>32</v>
      </c>
      <c r="O12" s="148" t="s">
        <v>107</v>
      </c>
      <c r="P12" s="148" t="s">
        <v>34</v>
      </c>
      <c r="Q12" s="148" t="s">
        <v>34</v>
      </c>
      <c r="R12" s="148" t="s">
        <v>34</v>
      </c>
      <c r="S12" s="147"/>
      <c r="T12" t="s">
        <v>54</v>
      </c>
      <c r="U12" s="142" t="s">
        <v>108</v>
      </c>
      <c r="V12" t="s">
        <v>34</v>
      </c>
      <c r="W12" s="142" t="s">
        <v>109</v>
      </c>
      <c r="X12" t="s">
        <v>110</v>
      </c>
    </row>
    <row r="13" spans="1:28">
      <c r="A13" t="s">
        <v>102</v>
      </c>
      <c r="B13" s="101">
        <v>12</v>
      </c>
      <c r="C13" s="101" t="str">
        <f>'[1]Other extracted data'!A15</f>
        <v>Shihata 2018</v>
      </c>
      <c r="D13" s="147" t="s">
        <v>103</v>
      </c>
      <c r="E13" t="s">
        <v>104</v>
      </c>
      <c r="F13" t="s">
        <v>48</v>
      </c>
      <c r="G13" t="s">
        <v>63</v>
      </c>
      <c r="H13" t="s">
        <v>111</v>
      </c>
      <c r="I13">
        <v>524</v>
      </c>
      <c r="J13" t="s">
        <v>112</v>
      </c>
      <c r="K13" t="s">
        <v>113</v>
      </c>
      <c r="L13">
        <v>524</v>
      </c>
      <c r="M13" s="137">
        <v>0.66</v>
      </c>
      <c r="N13" t="s">
        <v>32</v>
      </c>
      <c r="O13" t="s">
        <v>107</v>
      </c>
      <c r="P13" t="s">
        <v>34</v>
      </c>
      <c r="Q13" t="s">
        <v>34</v>
      </c>
      <c r="R13" t="s">
        <v>34</v>
      </c>
      <c r="S13" s="142"/>
      <c r="T13" t="s">
        <v>54</v>
      </c>
      <c r="U13" s="142" t="s">
        <v>108</v>
      </c>
      <c r="V13" s="142"/>
      <c r="W13" s="142"/>
    </row>
    <row r="14" spans="1:28">
      <c r="A14" t="s">
        <v>114</v>
      </c>
      <c r="B14" s="101">
        <v>13</v>
      </c>
      <c r="C14" s="101" t="str">
        <f>'[1]Other extracted data'!A16</f>
        <v>Shihata 2018</v>
      </c>
      <c r="D14" s="147" t="s">
        <v>115</v>
      </c>
      <c r="E14" t="s">
        <v>104</v>
      </c>
      <c r="F14" t="s">
        <v>48</v>
      </c>
      <c r="G14" t="s">
        <v>63</v>
      </c>
      <c r="H14" t="s">
        <v>29</v>
      </c>
      <c r="I14">
        <v>76</v>
      </c>
      <c r="J14" t="s">
        <v>116</v>
      </c>
      <c r="K14" t="s">
        <v>117</v>
      </c>
      <c r="L14">
        <v>76</v>
      </c>
      <c r="M14" s="137">
        <v>0.65800000000000003</v>
      </c>
      <c r="N14" t="s">
        <v>32</v>
      </c>
      <c r="O14" t="s">
        <v>118</v>
      </c>
      <c r="P14" t="s">
        <v>34</v>
      </c>
      <c r="Q14" t="s">
        <v>34</v>
      </c>
      <c r="R14" t="s">
        <v>34</v>
      </c>
      <c r="S14" s="142"/>
      <c r="T14" t="s">
        <v>119</v>
      </c>
      <c r="U14" t="s">
        <v>120</v>
      </c>
      <c r="V14" t="s">
        <v>121</v>
      </c>
      <c r="W14" t="s">
        <v>122</v>
      </c>
      <c r="X14" t="s">
        <v>123</v>
      </c>
    </row>
    <row r="15" spans="1:28">
      <c r="A15" t="s">
        <v>114</v>
      </c>
      <c r="B15" s="101">
        <v>14</v>
      </c>
      <c r="C15" s="101" t="str">
        <f>'[1]Other extracted data'!A17</f>
        <v>Wilson 2020</v>
      </c>
      <c r="D15" s="147" t="s">
        <v>115</v>
      </c>
      <c r="E15" t="s">
        <v>104</v>
      </c>
      <c r="F15" t="s">
        <v>48</v>
      </c>
      <c r="G15" t="s">
        <v>63</v>
      </c>
      <c r="H15" t="s">
        <v>124</v>
      </c>
      <c r="I15">
        <v>136</v>
      </c>
      <c r="J15" t="s">
        <v>125</v>
      </c>
      <c r="K15" t="s">
        <v>126</v>
      </c>
      <c r="L15">
        <v>136</v>
      </c>
      <c r="M15" s="137">
        <v>0.77900000000000003</v>
      </c>
      <c r="N15" t="s">
        <v>32</v>
      </c>
      <c r="O15" t="s">
        <v>127</v>
      </c>
      <c r="P15" t="s">
        <v>34</v>
      </c>
      <c r="Q15" t="s">
        <v>34</v>
      </c>
      <c r="R15" t="s">
        <v>34</v>
      </c>
      <c r="S15" s="142"/>
      <c r="T15" t="s">
        <v>128</v>
      </c>
      <c r="U15" s="142" t="s">
        <v>120</v>
      </c>
      <c r="V15" s="142"/>
      <c r="W15" s="142"/>
    </row>
    <row r="16" spans="1:28">
      <c r="A16" t="s">
        <v>114</v>
      </c>
      <c r="B16" s="101">
        <v>15</v>
      </c>
      <c r="C16" s="101" t="str">
        <f>'[1]Other extracted data'!A18</f>
        <v>Wilson 2020</v>
      </c>
      <c r="D16" s="147" t="s">
        <v>129</v>
      </c>
      <c r="E16" t="s">
        <v>104</v>
      </c>
      <c r="F16" t="s">
        <v>48</v>
      </c>
      <c r="G16" t="s">
        <v>63</v>
      </c>
      <c r="H16" t="s">
        <v>130</v>
      </c>
      <c r="I16">
        <v>212</v>
      </c>
      <c r="L16">
        <v>212</v>
      </c>
      <c r="S16" s="142"/>
      <c r="T16" s="142" t="s">
        <v>119</v>
      </c>
      <c r="U16" s="142" t="s">
        <v>120</v>
      </c>
      <c r="V16" s="142"/>
      <c r="W16" s="142"/>
    </row>
    <row r="17" spans="1:24">
      <c r="A17" t="s">
        <v>131</v>
      </c>
      <c r="B17" s="101">
        <v>16</v>
      </c>
      <c r="C17" s="101" t="str">
        <f>'[1]Other extracted data'!A19</f>
        <v>Wilson 2020</v>
      </c>
      <c r="D17" s="147" t="s">
        <v>132</v>
      </c>
      <c r="E17" t="s">
        <v>133</v>
      </c>
      <c r="F17" t="s">
        <v>134</v>
      </c>
      <c r="G17" t="s">
        <v>135</v>
      </c>
      <c r="H17" s="142" t="s">
        <v>136</v>
      </c>
      <c r="I17">
        <v>696</v>
      </c>
      <c r="J17" t="s">
        <v>137</v>
      </c>
      <c r="K17" t="s">
        <v>138</v>
      </c>
      <c r="L17">
        <v>696</v>
      </c>
      <c r="M17" s="137">
        <v>0.64500000000000002</v>
      </c>
      <c r="N17" t="s">
        <v>32</v>
      </c>
      <c r="O17" t="s">
        <v>139</v>
      </c>
      <c r="P17" t="s">
        <v>140</v>
      </c>
      <c r="Q17" t="s">
        <v>34</v>
      </c>
      <c r="R17" t="s">
        <v>34</v>
      </c>
      <c r="S17" s="142"/>
      <c r="T17" t="s">
        <v>54</v>
      </c>
      <c r="U17" s="149" t="s">
        <v>141</v>
      </c>
      <c r="V17" s="146" t="s">
        <v>34</v>
      </c>
      <c r="W17" s="146" t="s">
        <v>34</v>
      </c>
      <c r="X17" t="s">
        <v>142</v>
      </c>
    </row>
    <row r="18" spans="1:24">
      <c r="A18" t="s">
        <v>131</v>
      </c>
      <c r="B18" s="101">
        <v>17</v>
      </c>
      <c r="C18" s="101" t="str">
        <f>'[1]Other extracted data'!A20</f>
        <v>Yao 2020</v>
      </c>
      <c r="D18" s="147" t="s">
        <v>132</v>
      </c>
      <c r="E18" t="s">
        <v>133</v>
      </c>
      <c r="F18" t="s">
        <v>134</v>
      </c>
      <c r="G18" t="s">
        <v>135</v>
      </c>
      <c r="H18" t="s">
        <v>143</v>
      </c>
      <c r="I18">
        <v>707</v>
      </c>
      <c r="J18" t="s">
        <v>144</v>
      </c>
      <c r="K18" t="s">
        <v>145</v>
      </c>
      <c r="L18">
        <v>707</v>
      </c>
      <c r="M18" s="137">
        <v>0.66800000000000004</v>
      </c>
      <c r="N18" t="s">
        <v>32</v>
      </c>
      <c r="O18" t="s">
        <v>139</v>
      </c>
      <c r="P18" t="s">
        <v>140</v>
      </c>
      <c r="Q18" t="s">
        <v>34</v>
      </c>
      <c r="R18" t="s">
        <v>34</v>
      </c>
      <c r="S18" s="142"/>
      <c r="T18" t="s">
        <v>54</v>
      </c>
      <c r="U18" s="149" t="s">
        <v>141</v>
      </c>
      <c r="V18" s="149"/>
      <c r="W18" s="149"/>
    </row>
    <row r="19" spans="1:24">
      <c r="A19" t="s">
        <v>146</v>
      </c>
      <c r="B19" s="101">
        <v>18</v>
      </c>
      <c r="C19" s="101" t="str">
        <f>'[1]Other extracted data'!A21</f>
        <v>Yao 2020</v>
      </c>
      <c r="D19" s="148" t="s">
        <v>147</v>
      </c>
      <c r="E19" t="s">
        <v>57</v>
      </c>
      <c r="F19" t="s">
        <v>48</v>
      </c>
      <c r="G19" t="s">
        <v>63</v>
      </c>
      <c r="H19" t="s">
        <v>148</v>
      </c>
      <c r="I19">
        <v>276</v>
      </c>
      <c r="J19" t="s">
        <v>149</v>
      </c>
      <c r="K19" t="s">
        <v>150</v>
      </c>
      <c r="L19">
        <v>276</v>
      </c>
      <c r="M19" s="137">
        <v>0</v>
      </c>
      <c r="N19" t="s">
        <v>32</v>
      </c>
      <c r="O19" t="s">
        <v>151</v>
      </c>
      <c r="P19" t="s">
        <v>34</v>
      </c>
      <c r="Q19" t="s">
        <v>34</v>
      </c>
      <c r="R19" t="s">
        <v>34</v>
      </c>
      <c r="T19" t="s">
        <v>152</v>
      </c>
      <c r="U19" t="s">
        <v>153</v>
      </c>
      <c r="V19" t="s">
        <v>34</v>
      </c>
      <c r="W19" t="s">
        <v>154</v>
      </c>
      <c r="X19" t="s">
        <v>155</v>
      </c>
    </row>
    <row r="20" spans="1:24">
      <c r="A20" t="s">
        <v>146</v>
      </c>
      <c r="B20" s="101">
        <v>19</v>
      </c>
      <c r="C20" s="101" t="str">
        <f>'[1]Other extracted data'!A22</f>
        <v>Hale 2016</v>
      </c>
      <c r="D20" s="148" t="s">
        <v>147</v>
      </c>
      <c r="E20" t="s">
        <v>57</v>
      </c>
      <c r="F20" t="s">
        <v>48</v>
      </c>
      <c r="G20" t="s">
        <v>63</v>
      </c>
      <c r="H20" t="s">
        <v>156</v>
      </c>
      <c r="I20">
        <v>387</v>
      </c>
      <c r="J20" t="s">
        <v>157</v>
      </c>
      <c r="K20" t="s">
        <v>158</v>
      </c>
      <c r="L20">
        <v>387</v>
      </c>
      <c r="M20" s="137">
        <v>1</v>
      </c>
      <c r="N20" t="s">
        <v>32</v>
      </c>
      <c r="O20" t="s">
        <v>151</v>
      </c>
      <c r="P20" t="s">
        <v>34</v>
      </c>
      <c r="Q20" t="s">
        <v>34</v>
      </c>
      <c r="R20" t="s">
        <v>34</v>
      </c>
      <c r="T20" t="s">
        <v>152</v>
      </c>
      <c r="U20" t="s">
        <v>159</v>
      </c>
    </row>
    <row r="21" spans="1:24">
      <c r="A21" t="s">
        <v>160</v>
      </c>
      <c r="B21" s="101">
        <v>20</v>
      </c>
      <c r="C21" s="101" t="s">
        <v>160</v>
      </c>
      <c r="D21" s="147" t="s">
        <v>161</v>
      </c>
      <c r="E21" t="s">
        <v>162</v>
      </c>
      <c r="F21" t="s">
        <v>48</v>
      </c>
      <c r="G21" t="s">
        <v>163</v>
      </c>
      <c r="H21" t="s">
        <v>164</v>
      </c>
      <c r="I21">
        <v>220</v>
      </c>
      <c r="J21" t="s">
        <v>165</v>
      </c>
      <c r="K21" t="s">
        <v>166</v>
      </c>
      <c r="L21">
        <v>220</v>
      </c>
      <c r="M21" s="137">
        <v>0.495</v>
      </c>
      <c r="N21" t="s">
        <v>32</v>
      </c>
      <c r="O21" t="s">
        <v>151</v>
      </c>
      <c r="P21" t="s">
        <v>34</v>
      </c>
      <c r="Q21" t="s">
        <v>34</v>
      </c>
      <c r="R21" t="s">
        <v>34</v>
      </c>
      <c r="T21" t="s">
        <v>167</v>
      </c>
      <c r="U21" t="s">
        <v>168</v>
      </c>
    </row>
    <row r="22" spans="1:24" ht="60">
      <c r="A22" t="s">
        <v>160</v>
      </c>
      <c r="B22" s="101">
        <v>21</v>
      </c>
      <c r="C22" s="101" t="s">
        <v>160</v>
      </c>
      <c r="D22" s="147" t="s">
        <v>161</v>
      </c>
      <c r="E22" t="s">
        <v>162</v>
      </c>
      <c r="F22" t="s">
        <v>48</v>
      </c>
      <c r="G22" t="s">
        <v>169</v>
      </c>
      <c r="H22" t="s">
        <v>170</v>
      </c>
      <c r="I22">
        <v>204</v>
      </c>
      <c r="J22" t="s">
        <v>171</v>
      </c>
      <c r="K22" t="s">
        <v>172</v>
      </c>
      <c r="L22">
        <v>204</v>
      </c>
      <c r="M22" s="137">
        <v>0.91700000000000004</v>
      </c>
      <c r="N22" t="s">
        <v>32</v>
      </c>
      <c r="O22" t="s">
        <v>151</v>
      </c>
      <c r="P22" t="s">
        <v>34</v>
      </c>
      <c r="Q22" t="s">
        <v>34</v>
      </c>
      <c r="R22" t="s">
        <v>34</v>
      </c>
      <c r="T22" t="s">
        <v>167</v>
      </c>
      <c r="U22" s="146" t="s">
        <v>173</v>
      </c>
    </row>
    <row r="23" spans="1:24">
      <c r="I23">
        <f>COUNT(I2:I22)</f>
        <v>21</v>
      </c>
    </row>
    <row r="24" spans="1:24">
      <c r="B24" s="101">
        <f>COUNT(B2:B22)</f>
        <v>21</v>
      </c>
      <c r="I24">
        <f>SUM(I2:I22)</f>
        <v>7305</v>
      </c>
    </row>
  </sheetData>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57A63-5CFF-4021-B9C3-21F7A866086D}">
  <dimension ref="A2:P32"/>
  <sheetViews>
    <sheetView topLeftCell="A29" zoomScale="80" zoomScaleNormal="80" workbookViewId="0">
      <selection activeCell="N33" sqref="N33"/>
    </sheetView>
  </sheetViews>
  <sheetFormatPr defaultColWidth="11.42578125" defaultRowHeight="15"/>
  <cols>
    <col min="1" max="1" width="4" customWidth="1"/>
    <col min="2" max="2" width="36" customWidth="1"/>
    <col min="12" max="12" width="21" bestFit="1" customWidth="1"/>
    <col min="13" max="13" width="11.42578125" style="133"/>
    <col min="16" max="16" width="22.42578125" bestFit="1" customWidth="1"/>
  </cols>
  <sheetData>
    <row r="2" spans="1:16" ht="15.75" thickBot="1">
      <c r="B2" s="103" t="s">
        <v>174</v>
      </c>
      <c r="C2" s="104"/>
    </row>
    <row r="3" spans="1:16" ht="30">
      <c r="A3" s="105" t="s">
        <v>175</v>
      </c>
      <c r="B3" s="106"/>
      <c r="C3" s="107" t="s">
        <v>176</v>
      </c>
      <c r="D3" s="108" t="s">
        <v>45</v>
      </c>
      <c r="E3" s="109" t="s">
        <v>60</v>
      </c>
      <c r="F3" s="110" t="s">
        <v>75</v>
      </c>
      <c r="G3" s="108" t="s">
        <v>93</v>
      </c>
      <c r="H3" s="110" t="s">
        <v>102</v>
      </c>
      <c r="I3" s="110" t="s">
        <v>114</v>
      </c>
      <c r="J3" s="110" t="s">
        <v>131</v>
      </c>
      <c r="K3" s="110" t="s">
        <v>146</v>
      </c>
      <c r="L3" s="1" t="s">
        <v>177</v>
      </c>
      <c r="P3" s="1" t="s">
        <v>177</v>
      </c>
    </row>
    <row r="4" spans="1:16" ht="15.75" thickBot="1">
      <c r="A4" s="106"/>
      <c r="B4" s="106"/>
      <c r="C4" s="111"/>
    </row>
    <row r="5" spans="1:16">
      <c r="A5" s="112" t="s">
        <v>178</v>
      </c>
      <c r="B5" s="113"/>
      <c r="C5" s="114" t="s">
        <v>179</v>
      </c>
      <c r="D5" s="114" t="s">
        <v>179</v>
      </c>
      <c r="E5" s="114" t="s">
        <v>179</v>
      </c>
      <c r="F5" s="114" t="s">
        <v>179</v>
      </c>
      <c r="G5" s="114" t="s">
        <v>179</v>
      </c>
      <c r="H5" s="114" t="s">
        <v>179</v>
      </c>
      <c r="I5" s="114" t="s">
        <v>179</v>
      </c>
      <c r="J5" s="114" t="s">
        <v>179</v>
      </c>
      <c r="K5" s="114" t="s">
        <v>179</v>
      </c>
    </row>
    <row r="6" spans="1:16" ht="20.100000000000001" customHeight="1">
      <c r="A6" s="115"/>
      <c r="B6" s="116" t="s">
        <v>180</v>
      </c>
      <c r="C6" s="117"/>
      <c r="D6" s="117"/>
      <c r="E6" s="117"/>
      <c r="F6" s="117"/>
      <c r="G6" s="117"/>
      <c r="H6" s="117"/>
      <c r="I6" s="117"/>
      <c r="J6" s="117"/>
      <c r="K6" s="117"/>
    </row>
    <row r="7" spans="1:16" ht="33.950000000000003" customHeight="1">
      <c r="A7" s="118">
        <v>1</v>
      </c>
      <c r="B7" s="116" t="s">
        <v>181</v>
      </c>
      <c r="C7" s="134">
        <f>IF('[2]RoB COSMIN'!C7='[2]Rater 2 cosmin'!C7,1,0)</f>
        <v>1</v>
      </c>
      <c r="D7" s="134">
        <f>IF('[2]RoB COSMIN'!D7='[2]Rater 2 cosmin'!D7,1,0)</f>
        <v>1</v>
      </c>
      <c r="E7" s="134">
        <f>IF('[2]RoB COSMIN'!E7='[2]Rater 2 cosmin'!E7,1,0)</f>
        <v>1</v>
      </c>
      <c r="F7" s="134">
        <f>IF('[2]RoB COSMIN'!F7='[2]Rater 2 cosmin'!F7,1,0)</f>
        <v>1</v>
      </c>
      <c r="G7" s="134">
        <f>IF('[2]RoB COSMIN'!G7='[2]Rater 2 cosmin'!G7,1,0)</f>
        <v>1</v>
      </c>
      <c r="H7" s="134">
        <f>IF('[2]RoB COSMIN'!H7='[2]Rater 2 cosmin'!H7,1,0)</f>
        <v>1</v>
      </c>
      <c r="I7" s="134">
        <f>IF('[2]RoB COSMIN'!I7='[2]Rater 2 cosmin'!I7,1,0)</f>
        <v>1</v>
      </c>
      <c r="J7" s="134">
        <f>IF('[2]RoB COSMIN'!J7='[2]Rater 2 cosmin'!J7,1,0)</f>
        <v>1</v>
      </c>
      <c r="K7" s="134">
        <f>IF('[2]RoB COSMIN'!K7='[2]Rater 2 cosmin'!K7,1,0)</f>
        <v>1</v>
      </c>
      <c r="L7">
        <f>IF('[2]Rater 2 cosmin - additional pap'!H7='[2]RoB COSMIN'!H7,1,0)</f>
        <v>1</v>
      </c>
      <c r="M7" s="133">
        <f>COUNTIF(C7:K7,"=1")/COUNT(C7:K7)</f>
        <v>1</v>
      </c>
      <c r="N7">
        <f>COUNTIF(C7:L7,"=1")</f>
        <v>10</v>
      </c>
      <c r="P7">
        <f>IF('[2]Rater 2 cosmin - additional pap'!L7='[2]RoB COSMIN'!L7,1,0)</f>
        <v>1</v>
      </c>
    </row>
    <row r="8" spans="1:16" ht="30" customHeight="1">
      <c r="A8" s="118">
        <v>2</v>
      </c>
      <c r="B8" s="116" t="s">
        <v>182</v>
      </c>
      <c r="C8" s="134">
        <f>IF('[2]RoB COSMIN'!C8='[2]Rater 2 cosmin'!C8,1,0)</f>
        <v>1</v>
      </c>
      <c r="D8" s="134">
        <f>IF('[2]RoB COSMIN'!D8='[2]Rater 2 cosmin'!D8,1,0)</f>
        <v>1</v>
      </c>
      <c r="E8" s="134">
        <f>IF('[2]RoB COSMIN'!E8='[2]Rater 2 cosmin'!E8,1,0)</f>
        <v>1</v>
      </c>
      <c r="F8" s="134">
        <f>IF('[2]RoB COSMIN'!F8='[2]Rater 2 cosmin'!F8,1,0)</f>
        <v>1</v>
      </c>
      <c r="G8" s="134">
        <f>IF('[2]RoB COSMIN'!G8='[2]Rater 2 cosmin'!G8,1,0)</f>
        <v>1</v>
      </c>
      <c r="H8" s="134">
        <f>IF('[2]RoB COSMIN'!H8='[2]Rater 2 cosmin'!H8,1,0)</f>
        <v>1</v>
      </c>
      <c r="I8" s="134">
        <f>IF('[2]RoB COSMIN'!I8='[2]Rater 2 cosmin'!I8,1,0)</f>
        <v>1</v>
      </c>
      <c r="J8" s="134">
        <f>IF('[2]RoB COSMIN'!J8='[2]Rater 2 cosmin'!J8,1,0)</f>
        <v>1</v>
      </c>
      <c r="K8" s="134">
        <f>IF('[2]RoB COSMIN'!K8='[2]Rater 2 cosmin'!K8,1,0)</f>
        <v>1</v>
      </c>
      <c r="L8">
        <f>IF('[2]Rater 2 cosmin - additional pap'!H8='[2]RoB COSMIN'!H8,1,0)</f>
        <v>1</v>
      </c>
      <c r="M8" s="133">
        <f t="shared" ref="M8:M9" si="0">COUNTIF(C8:K8,"=1")/COUNT(C8:K8)</f>
        <v>1</v>
      </c>
      <c r="N8">
        <f t="shared" ref="N8:N9" si="1">COUNTIF(C8:L8,"=1")</f>
        <v>10</v>
      </c>
      <c r="P8">
        <f>IF('[2]Rater 2 cosmin - additional pap'!L8='[2]RoB COSMIN'!L8,1,0)</f>
        <v>1</v>
      </c>
    </row>
    <row r="9" spans="1:16" ht="33.950000000000003" customHeight="1">
      <c r="A9" s="118">
        <v>3</v>
      </c>
      <c r="B9" s="116" t="s">
        <v>183</v>
      </c>
      <c r="C9" s="134">
        <f>IF('[2]RoB COSMIN'!C9='[2]Rater 2 cosmin'!C9,1,0)</f>
        <v>1</v>
      </c>
      <c r="D9" s="134">
        <f>IF('[2]RoB COSMIN'!D9='[2]Rater 2 cosmin'!D9,1,0)</f>
        <v>1</v>
      </c>
      <c r="E9" s="134">
        <f>IF('[2]RoB COSMIN'!E9='[2]Rater 2 cosmin'!E9,1,0)</f>
        <v>1</v>
      </c>
      <c r="F9" s="134">
        <f>IF('[2]RoB COSMIN'!F9='[2]Rater 2 cosmin'!F9,1,0)</f>
        <v>1</v>
      </c>
      <c r="G9" s="134">
        <f>IF('[2]RoB COSMIN'!G9='[2]Rater 2 cosmin'!G9,1,0)</f>
        <v>1</v>
      </c>
      <c r="H9" s="134">
        <f>IF('[2]RoB COSMIN'!H9='[2]Rater 2 cosmin'!H9,1,0)</f>
        <v>1</v>
      </c>
      <c r="I9" s="134">
        <f>IF('[2]RoB COSMIN'!I9='[2]Rater 2 cosmin'!I9,1,0)</f>
        <v>1</v>
      </c>
      <c r="J9" s="134">
        <f>IF('[2]RoB COSMIN'!J9='[2]Rater 2 cosmin'!J9,1,0)</f>
        <v>1</v>
      </c>
      <c r="K9" s="134">
        <f>IF('[2]RoB COSMIN'!K9='[2]Rater 2 cosmin'!K9,1,0)</f>
        <v>1</v>
      </c>
      <c r="L9">
        <f>IF('[2]Rater 2 cosmin - additional pap'!H9='[2]RoB COSMIN'!H9,1,0)</f>
        <v>1</v>
      </c>
      <c r="M9" s="133">
        <f t="shared" si="0"/>
        <v>1</v>
      </c>
      <c r="N9">
        <f t="shared" si="1"/>
        <v>10</v>
      </c>
      <c r="P9">
        <f>IF('[2]Rater 2 cosmin - additional pap'!L9='[2]RoB COSMIN'!L9,1,0)</f>
        <v>1</v>
      </c>
    </row>
    <row r="10" spans="1:16" ht="30">
      <c r="A10" s="118">
        <v>4</v>
      </c>
      <c r="B10" s="135" t="s">
        <v>184</v>
      </c>
      <c r="C10" s="117"/>
      <c r="D10" s="117"/>
      <c r="E10" s="117"/>
      <c r="F10" s="117"/>
      <c r="G10" s="117"/>
      <c r="H10" s="117"/>
      <c r="I10" s="117"/>
      <c r="J10" s="117"/>
      <c r="K10" s="117"/>
      <c r="M10" s="136" t="s">
        <v>185</v>
      </c>
    </row>
    <row r="11" spans="1:16" ht="26.1" customHeight="1" thickBot="1">
      <c r="A11" s="119"/>
      <c r="B11" s="120" t="s">
        <v>186</v>
      </c>
      <c r="C11" s="121"/>
      <c r="D11" s="121"/>
      <c r="E11" s="121"/>
      <c r="F11" s="121"/>
      <c r="G11" s="121"/>
      <c r="H11" s="121"/>
      <c r="I11" s="121"/>
      <c r="J11" s="121"/>
      <c r="K11" s="121"/>
    </row>
    <row r="12" spans="1:16" ht="15.75" thickBot="1">
      <c r="A12" s="106"/>
      <c r="B12" s="104"/>
      <c r="C12" s="122"/>
      <c r="D12" s="122"/>
      <c r="E12" s="122"/>
      <c r="F12" s="122"/>
      <c r="G12" s="122"/>
      <c r="H12" s="122"/>
      <c r="I12" s="122"/>
      <c r="J12" s="122"/>
      <c r="K12" s="122"/>
    </row>
    <row r="13" spans="1:16">
      <c r="A13" s="112" t="s">
        <v>187</v>
      </c>
      <c r="B13" s="123"/>
      <c r="C13" s="114" t="s">
        <v>179</v>
      </c>
      <c r="D13" s="114" t="s">
        <v>179</v>
      </c>
      <c r="E13" s="114" t="s">
        <v>179</v>
      </c>
      <c r="F13" s="114" t="s">
        <v>179</v>
      </c>
      <c r="G13" s="114" t="s">
        <v>179</v>
      </c>
      <c r="H13" s="114" t="s">
        <v>179</v>
      </c>
      <c r="I13" s="114" t="s">
        <v>179</v>
      </c>
      <c r="J13" s="114" t="s">
        <v>179</v>
      </c>
      <c r="K13" s="114" t="s">
        <v>179</v>
      </c>
    </row>
    <row r="14" spans="1:16" ht="48" customHeight="1">
      <c r="A14" s="115">
        <v>1</v>
      </c>
      <c r="B14" s="124" t="s">
        <v>188</v>
      </c>
      <c r="C14" s="134">
        <f>IF('[2]RoB COSMIN'!C14='[2]Rater 2 cosmin'!C14,1,0)</f>
        <v>1</v>
      </c>
      <c r="D14" s="134">
        <f>IF('[2]RoB COSMIN'!D14='[2]Rater 2 cosmin'!D14,1,0)</f>
        <v>1</v>
      </c>
      <c r="E14" s="134">
        <f>IF('[2]RoB COSMIN'!E14='[2]Rater 2 cosmin'!E14,1,0)</f>
        <v>1</v>
      </c>
      <c r="F14" s="134">
        <f>IF('[2]RoB COSMIN'!F14='[2]Rater 2 cosmin'!F14,1,0)</f>
        <v>1</v>
      </c>
      <c r="G14" s="134">
        <f>IF('[2]RoB COSMIN'!G14='[2]Rater 2 cosmin'!G14,1,0)</f>
        <v>1</v>
      </c>
      <c r="H14" s="134">
        <f>IF('[2]RoB COSMIN'!H14='[2]Rater 2 cosmin'!H14,1,0)</f>
        <v>1</v>
      </c>
      <c r="I14" s="134">
        <f>IF('[2]RoB COSMIN'!I14='[2]Rater 2 cosmin'!I14,1,0)</f>
        <v>1</v>
      </c>
      <c r="J14" s="134">
        <f>IF('[2]RoB COSMIN'!J14='[2]Rater 2 cosmin'!J14,1,0)</f>
        <v>1</v>
      </c>
      <c r="K14" s="134">
        <f>IF('[2]RoB COSMIN'!K14='[2]Rater 2 cosmin'!K14,1,0)</f>
        <v>1</v>
      </c>
      <c r="L14">
        <f>IF('[2]Rater 2 cosmin - additional pap'!H14='[2]RoB COSMIN'!H14,1,0)</f>
        <v>1</v>
      </c>
      <c r="M14" s="133">
        <f>COUNTIF(C14:K14,"=1")/COUNT(C14:K14)</f>
        <v>1</v>
      </c>
      <c r="N14">
        <f>COUNTIF(C14:L14,"=1")</f>
        <v>10</v>
      </c>
      <c r="P14">
        <f>IF('[2]Rater 2 cosmin - additional pap'!L14='[2]RoB COSMIN'!L14,1,0)</f>
        <v>1</v>
      </c>
    </row>
    <row r="15" spans="1:16" ht="33.950000000000003" customHeight="1">
      <c r="A15" s="115">
        <v>2</v>
      </c>
      <c r="B15" s="124" t="s">
        <v>189</v>
      </c>
      <c r="C15" s="134">
        <f>IF('[2]RoB COSMIN'!C15='[2]Rater 2 cosmin'!C15,1,0)</f>
        <v>1</v>
      </c>
      <c r="D15" s="134">
        <f>IF('[2]RoB COSMIN'!D15='[2]Rater 2 cosmin'!D15,1,0)</f>
        <v>0</v>
      </c>
      <c r="E15" s="134">
        <f>IF('[2]RoB COSMIN'!E15='[2]Rater 2 cosmin'!E15,1,0)</f>
        <v>1</v>
      </c>
      <c r="F15" s="134">
        <f>IF('[2]RoB COSMIN'!F15='[2]Rater 2 cosmin'!F15,1,0)</f>
        <v>1</v>
      </c>
      <c r="G15" s="134">
        <f>IF('[2]RoB COSMIN'!G15='[2]Rater 2 cosmin'!G15,1,0)</f>
        <v>1</v>
      </c>
      <c r="H15" s="134">
        <f>IF('[2]RoB COSMIN'!H15='[2]Rater 2 cosmin'!H15,1,0)</f>
        <v>1</v>
      </c>
      <c r="I15" s="134">
        <f>IF('[2]RoB COSMIN'!I15='[2]Rater 2 cosmin'!I15,1,0)</f>
        <v>1</v>
      </c>
      <c r="J15" s="134">
        <f>IF('[2]RoB COSMIN'!J15='[2]Rater 2 cosmin'!J15,1,0)</f>
        <v>1</v>
      </c>
      <c r="K15" s="134">
        <f>IF('[2]RoB COSMIN'!K15='[2]Rater 2 cosmin'!K15,1,0)</f>
        <v>1</v>
      </c>
      <c r="L15">
        <f>IF('[2]Rater 2 cosmin - additional pap'!H15='[2]RoB COSMIN'!H15,1,0)</f>
        <v>1</v>
      </c>
      <c r="M15" s="133">
        <f t="shared" ref="M15:M17" si="2">COUNTIF(C15:K15,"=1")/COUNT(C15:K15)</f>
        <v>0.88888888888888884</v>
      </c>
      <c r="N15">
        <f t="shared" ref="N15:N17" si="3">COUNTIF(C15:L15,"=1")</f>
        <v>9</v>
      </c>
      <c r="P15">
        <f>IF('[2]Rater 2 cosmin - additional pap'!L15='[2]RoB COSMIN'!L15,1,0)</f>
        <v>1</v>
      </c>
    </row>
    <row r="16" spans="1:16" ht="32.1" customHeight="1">
      <c r="A16" s="115">
        <v>3</v>
      </c>
      <c r="B16" s="124" t="s">
        <v>190</v>
      </c>
      <c r="C16" s="134">
        <f>IF('[2]RoB COSMIN'!C16='[2]Rater 2 cosmin'!C16,1,0)</f>
        <v>1</v>
      </c>
      <c r="D16" s="134">
        <f>IF('[2]RoB COSMIN'!D16='[2]Rater 2 cosmin'!D16,1,0)</f>
        <v>1</v>
      </c>
      <c r="E16" s="134">
        <f>IF('[2]RoB COSMIN'!E16='[2]Rater 2 cosmin'!E16,1,0)</f>
        <v>1</v>
      </c>
      <c r="F16" s="134">
        <f>IF('[2]RoB COSMIN'!F16='[2]Rater 2 cosmin'!F16,1,0)</f>
        <v>1</v>
      </c>
      <c r="G16" s="134">
        <f>IF('[2]RoB COSMIN'!G16='[2]Rater 2 cosmin'!G16,1,0)</f>
        <v>1</v>
      </c>
      <c r="H16" s="134">
        <f>IF('[2]RoB COSMIN'!H16='[2]Rater 2 cosmin'!H16,1,0)</f>
        <v>1</v>
      </c>
      <c r="I16" s="134">
        <f>IF('[2]RoB COSMIN'!I16='[2]Rater 2 cosmin'!I16,1,0)</f>
        <v>1</v>
      </c>
      <c r="J16" s="134">
        <f>IF('[2]RoB COSMIN'!J16='[2]Rater 2 cosmin'!J16,1,0)</f>
        <v>1</v>
      </c>
      <c r="K16" s="134">
        <f>IF('[2]RoB COSMIN'!K16='[2]Rater 2 cosmin'!K16,1,0)</f>
        <v>1</v>
      </c>
      <c r="L16">
        <f>IF('[2]Rater 2 cosmin - additional pap'!H16='[2]RoB COSMIN'!H16,1,0)</f>
        <v>1</v>
      </c>
      <c r="M16" s="133">
        <f t="shared" si="2"/>
        <v>1</v>
      </c>
      <c r="N16">
        <f t="shared" si="3"/>
        <v>10</v>
      </c>
      <c r="P16">
        <f>IF('[2]Rater 2 cosmin - additional pap'!L16='[2]RoB COSMIN'!L16,1,0)</f>
        <v>1</v>
      </c>
    </row>
    <row r="17" spans="1:16" ht="63.95" customHeight="1">
      <c r="A17" s="115">
        <v>4</v>
      </c>
      <c r="B17" s="124" t="s">
        <v>191</v>
      </c>
      <c r="C17" s="134">
        <f>IF('[2]RoB COSMIN'!C17='[2]Rater 2 cosmin'!C17,1,0)</f>
        <v>1</v>
      </c>
      <c r="D17" s="134">
        <f>IF('[2]RoB COSMIN'!D17='[2]Rater 2 cosmin'!D17,1,0)</f>
        <v>1</v>
      </c>
      <c r="E17" s="134">
        <f>IF('[2]RoB COSMIN'!E17='[2]Rater 2 cosmin'!E17,1,0)</f>
        <v>1</v>
      </c>
      <c r="F17" s="134">
        <f>IF('[2]RoB COSMIN'!F17='[2]Rater 2 cosmin'!F17,1,0)</f>
        <v>1</v>
      </c>
      <c r="G17" s="134">
        <f>IF('[2]RoB COSMIN'!G17='[2]Rater 2 cosmin'!G17,1,0)</f>
        <v>1</v>
      </c>
      <c r="H17" s="134">
        <f>IF('[2]RoB COSMIN'!H17='[2]Rater 2 cosmin'!H17,1,0)</f>
        <v>1</v>
      </c>
      <c r="I17" s="134">
        <f>IF('[2]RoB COSMIN'!I17='[2]Rater 2 cosmin'!I17,1,0)</f>
        <v>1</v>
      </c>
      <c r="J17" s="134">
        <f>IF('[2]RoB COSMIN'!J17='[2]Rater 2 cosmin'!J17,1,0)</f>
        <v>1</v>
      </c>
      <c r="K17" s="134">
        <f>IF('[2]RoB COSMIN'!K17='[2]Rater 2 cosmin'!K17,1,0)</f>
        <v>1</v>
      </c>
      <c r="L17">
        <f>IF('[2]Rater 2 cosmin - additional pap'!H17='[2]RoB COSMIN'!H17,1,0)</f>
        <v>1</v>
      </c>
      <c r="M17" s="133">
        <f t="shared" si="2"/>
        <v>1</v>
      </c>
      <c r="N17">
        <f t="shared" si="3"/>
        <v>10</v>
      </c>
      <c r="P17">
        <f>IF('[2]Rater 2 cosmin - additional pap'!L17='[2]RoB COSMIN'!L17,1,0)</f>
        <v>1</v>
      </c>
    </row>
    <row r="18" spans="1:16" ht="36" customHeight="1">
      <c r="A18" s="115">
        <v>5</v>
      </c>
      <c r="B18" s="135" t="s">
        <v>184</v>
      </c>
      <c r="C18" s="125" t="s">
        <v>192</v>
      </c>
      <c r="D18" s="125" t="s">
        <v>193</v>
      </c>
      <c r="E18" s="125" t="s">
        <v>194</v>
      </c>
      <c r="F18" s="125"/>
      <c r="G18" s="125"/>
      <c r="H18" s="125" t="s">
        <v>195</v>
      </c>
      <c r="I18" s="125" t="s">
        <v>195</v>
      </c>
      <c r="J18" s="125" t="s">
        <v>195</v>
      </c>
      <c r="K18" s="125" t="s">
        <v>195</v>
      </c>
    </row>
    <row r="19" spans="1:16" ht="18.95" customHeight="1" thickBot="1">
      <c r="A19" s="126"/>
      <c r="B19" s="127" t="s">
        <v>196</v>
      </c>
      <c r="C19" s="128" t="s">
        <v>197</v>
      </c>
      <c r="D19" s="128" t="s">
        <v>198</v>
      </c>
      <c r="E19" s="128" t="s">
        <v>198</v>
      </c>
      <c r="F19" s="128" t="s">
        <v>198</v>
      </c>
      <c r="G19" s="128" t="s">
        <v>198</v>
      </c>
      <c r="H19" s="128" t="s">
        <v>198</v>
      </c>
      <c r="I19" s="128" t="s">
        <v>198</v>
      </c>
      <c r="J19" s="128" t="s">
        <v>198</v>
      </c>
      <c r="K19" s="128" t="s">
        <v>197</v>
      </c>
    </row>
    <row r="20" spans="1:16" ht="15.75" thickBot="1">
      <c r="A20" s="129"/>
      <c r="B20" s="130"/>
      <c r="C20" s="122"/>
      <c r="D20" s="122"/>
      <c r="E20" s="122"/>
      <c r="F20" s="122"/>
      <c r="G20" s="122"/>
      <c r="H20" s="122"/>
      <c r="I20" s="122"/>
      <c r="J20" s="122"/>
      <c r="K20" s="122"/>
    </row>
    <row r="21" spans="1:16">
      <c r="A21" s="131" t="s">
        <v>199</v>
      </c>
      <c r="B21" s="124"/>
      <c r="C21" s="114" t="s">
        <v>179</v>
      </c>
      <c r="D21" s="114" t="s">
        <v>179</v>
      </c>
      <c r="E21" s="114" t="s">
        <v>179</v>
      </c>
      <c r="F21" s="114" t="s">
        <v>179</v>
      </c>
      <c r="G21" s="114" t="s">
        <v>179</v>
      </c>
      <c r="H21" s="114" t="s">
        <v>179</v>
      </c>
      <c r="I21" s="114" t="s">
        <v>179</v>
      </c>
      <c r="J21" s="114" t="s">
        <v>179</v>
      </c>
      <c r="K21" s="114" t="s">
        <v>179</v>
      </c>
    </row>
    <row r="22" spans="1:16" ht="33.950000000000003" customHeight="1">
      <c r="A22" s="115">
        <v>1</v>
      </c>
      <c r="B22" s="124" t="s">
        <v>200</v>
      </c>
      <c r="C22" s="134">
        <f>IF('[2]RoB COSMIN'!C22='[2]Rater 2 cosmin'!C22,1,0)</f>
        <v>1</v>
      </c>
      <c r="D22" s="134">
        <f>IF('[2]RoB COSMIN'!D22='[2]Rater 2 cosmin'!D22,1,0)</f>
        <v>1</v>
      </c>
      <c r="E22" s="134">
        <f>IF('[2]RoB COSMIN'!E22='[2]Rater 2 cosmin'!E22,1,0)</f>
        <v>1</v>
      </c>
      <c r="F22" s="134">
        <f>IF('[2]RoB COSMIN'!F22='[2]Rater 2 cosmin'!F22,1,0)</f>
        <v>1</v>
      </c>
      <c r="G22" s="134">
        <f>IF('[2]RoB COSMIN'!G22='[2]Rater 2 cosmin'!G22,1,0)</f>
        <v>1</v>
      </c>
      <c r="H22" s="134">
        <f>IF('[2]RoB COSMIN'!H22='[2]Rater 2 cosmin'!H22,1,0)</f>
        <v>1</v>
      </c>
      <c r="I22" s="134">
        <f>IF('[2]RoB COSMIN'!I22='[2]Rater 2 cosmin'!I22,1,0)</f>
        <v>1</v>
      </c>
      <c r="J22" s="134">
        <f>IF('[2]RoB COSMIN'!J22='[2]Rater 2 cosmin'!J22,1,0)</f>
        <v>1</v>
      </c>
      <c r="K22" s="134">
        <f>IF('[2]RoB COSMIN'!K22='[2]Rater 2 cosmin'!K22,1,0)</f>
        <v>1</v>
      </c>
      <c r="L22">
        <f>IF('[2]Rater 2 cosmin - additional pap'!H22='[2]RoB COSMIN'!H22,1,0)</f>
        <v>1</v>
      </c>
      <c r="M22" s="133">
        <f t="shared" ref="M22:M28" si="4">COUNTIF(C22:K22,"=1")/COUNT(C22:K22)</f>
        <v>1</v>
      </c>
      <c r="N22">
        <f>COUNTIF(C22:L22,"=1")</f>
        <v>10</v>
      </c>
      <c r="P22">
        <f>IF('[2]Rater 2 cosmin - additional pap'!L22='[2]RoB COSMIN'!L22,1,0)</f>
        <v>1</v>
      </c>
    </row>
    <row r="23" spans="1:16" ht="24" customHeight="1">
      <c r="A23" s="115">
        <v>2</v>
      </c>
      <c r="B23" s="124" t="s">
        <v>201</v>
      </c>
      <c r="C23" s="134">
        <f>IF('[2]RoB COSMIN'!C23='[2]Rater 2 cosmin'!C23,1,0)</f>
        <v>1</v>
      </c>
      <c r="D23" s="134">
        <f>IF('[2]RoB COSMIN'!D23='[2]Rater 2 cosmin'!D23,1,0)</f>
        <v>1</v>
      </c>
      <c r="E23" s="134">
        <f>IF('[2]RoB COSMIN'!E23='[2]Rater 2 cosmin'!E23,1,0)</f>
        <v>1</v>
      </c>
      <c r="F23" s="134">
        <f>IF('[2]RoB COSMIN'!F23='[2]Rater 2 cosmin'!F23,1,0)</f>
        <v>1</v>
      </c>
      <c r="G23" s="134">
        <f>IF('[2]RoB COSMIN'!G23='[2]Rater 2 cosmin'!G23,1,0)</f>
        <v>1</v>
      </c>
      <c r="H23" s="134">
        <f>IF('[2]RoB COSMIN'!H23='[2]Rater 2 cosmin'!H23,1,0)</f>
        <v>1</v>
      </c>
      <c r="I23" s="134">
        <f>IF('[2]RoB COSMIN'!I23='[2]Rater 2 cosmin'!I23,1,0)</f>
        <v>1</v>
      </c>
      <c r="J23" s="134">
        <f>IF('[2]RoB COSMIN'!J23='[2]Rater 2 cosmin'!J23,1,0)</f>
        <v>1</v>
      </c>
      <c r="K23" s="134">
        <f>IF('[2]RoB COSMIN'!K23='[2]Rater 2 cosmin'!K23,1,0)</f>
        <v>1</v>
      </c>
      <c r="L23">
        <f>IF('[2]Rater 2 cosmin - additional pap'!H23='[2]RoB COSMIN'!H23,1,0)</f>
        <v>1</v>
      </c>
      <c r="M23" s="133">
        <f t="shared" si="4"/>
        <v>1</v>
      </c>
      <c r="N23">
        <f t="shared" ref="N23:N28" si="5">COUNTIF(C23:L23,"=1")</f>
        <v>10</v>
      </c>
      <c r="P23">
        <f>IF('[2]Rater 2 cosmin - additional pap'!L23='[2]RoB COSMIN'!L23,1,0)</f>
        <v>1</v>
      </c>
    </row>
    <row r="24" spans="1:16" ht="54" customHeight="1">
      <c r="A24" s="115">
        <v>3</v>
      </c>
      <c r="B24" s="124" t="s">
        <v>202</v>
      </c>
      <c r="C24" s="134">
        <f>IF('[2]RoB COSMIN'!C24='[2]Rater 2 cosmin'!C24,1,0)</f>
        <v>1</v>
      </c>
      <c r="D24" s="134">
        <f>IF('[2]RoB COSMIN'!D24='[2]Rater 2 cosmin'!D24,1,0)</f>
        <v>1</v>
      </c>
      <c r="E24" s="134">
        <f>IF('[2]RoB COSMIN'!E24='[2]Rater 2 cosmin'!E24,1,0)</f>
        <v>1</v>
      </c>
      <c r="F24" s="134">
        <f>IF('[2]RoB COSMIN'!F24='[2]Rater 2 cosmin'!F24,1,0)</f>
        <v>0</v>
      </c>
      <c r="G24" s="134">
        <f>IF('[2]RoB COSMIN'!G24='[2]Rater 2 cosmin'!G24,1,0)</f>
        <v>0</v>
      </c>
      <c r="H24" s="134">
        <f>IF('[2]RoB COSMIN'!H24='[2]Rater 2 cosmin'!H24,1,0)</f>
        <v>1</v>
      </c>
      <c r="I24" s="134">
        <f>IF('[2]RoB COSMIN'!I24='[2]Rater 2 cosmin'!I24,1,0)</f>
        <v>1</v>
      </c>
      <c r="J24" s="134">
        <f>IF('[2]RoB COSMIN'!J24='[2]Rater 2 cosmin'!J24,1,0)</f>
        <v>1</v>
      </c>
      <c r="K24" s="134">
        <f>IF('[2]RoB COSMIN'!K24='[2]Rater 2 cosmin'!K24,1,0)</f>
        <v>1</v>
      </c>
      <c r="L24">
        <f>IF('[2]Rater 2 cosmin - additional pap'!H24='[2]RoB COSMIN'!H24,1,0)</f>
        <v>1</v>
      </c>
      <c r="M24" s="133">
        <f t="shared" si="4"/>
        <v>0.77777777777777779</v>
      </c>
      <c r="N24">
        <f t="shared" si="5"/>
        <v>8</v>
      </c>
      <c r="P24">
        <f>IF('[2]Rater 2 cosmin - additional pap'!L24='[2]RoB COSMIN'!L24,1,0)</f>
        <v>1</v>
      </c>
    </row>
    <row r="25" spans="1:16" ht="36.950000000000003" customHeight="1">
      <c r="A25" s="115">
        <v>4</v>
      </c>
      <c r="B25" s="124" t="s">
        <v>203</v>
      </c>
      <c r="C25" s="134">
        <f>IF('[2]RoB COSMIN'!C25='[2]Rater 2 cosmin'!C25,1,0)</f>
        <v>1</v>
      </c>
      <c r="D25" s="134">
        <f>IF('[2]RoB COSMIN'!D25='[2]Rater 2 cosmin'!D25,1,0)</f>
        <v>1</v>
      </c>
      <c r="E25" s="134">
        <f>IF('[2]RoB COSMIN'!E25='[2]Rater 2 cosmin'!E25,1,0)</f>
        <v>1</v>
      </c>
      <c r="F25" s="134">
        <f>IF('[2]RoB COSMIN'!F25='[2]Rater 2 cosmin'!F25,1,0)</f>
        <v>1</v>
      </c>
      <c r="G25" s="134">
        <f>IF('[2]RoB COSMIN'!G25='[2]Rater 2 cosmin'!G25,1,0)</f>
        <v>1</v>
      </c>
      <c r="H25" s="134">
        <f>IF('[2]RoB COSMIN'!H25='[2]Rater 2 cosmin'!H25,1,0)</f>
        <v>1</v>
      </c>
      <c r="I25" s="134">
        <f>IF('[2]RoB COSMIN'!I25='[2]Rater 2 cosmin'!I25,1,0)</f>
        <v>1</v>
      </c>
      <c r="J25" s="134">
        <f>IF('[2]RoB COSMIN'!J25='[2]Rater 2 cosmin'!J25,1,0)</f>
        <v>1</v>
      </c>
      <c r="K25" s="134">
        <f>IF('[2]RoB COSMIN'!K25='[2]Rater 2 cosmin'!K25,1,0)</f>
        <v>1</v>
      </c>
      <c r="L25">
        <f>IF('[2]Rater 2 cosmin - additional pap'!H25='[2]RoB COSMIN'!H25,1,0)</f>
        <v>1</v>
      </c>
      <c r="M25" s="133">
        <f t="shared" si="4"/>
        <v>1</v>
      </c>
      <c r="N25">
        <f t="shared" si="5"/>
        <v>10</v>
      </c>
      <c r="P25">
        <f>IF('[2]Rater 2 cosmin - additional pap'!L25='[2]RoB COSMIN'!L25,1,0)</f>
        <v>1</v>
      </c>
    </row>
    <row r="26" spans="1:16" ht="33.950000000000003" customHeight="1">
      <c r="A26" s="115">
        <v>5</v>
      </c>
      <c r="B26" s="124" t="s">
        <v>204</v>
      </c>
      <c r="C26" s="134">
        <f>IF('[2]RoB COSMIN'!C26='[2]Rater 2 cosmin'!C26,1,0)</f>
        <v>1</v>
      </c>
      <c r="D26" s="134">
        <f>IF('[2]RoB COSMIN'!D26='[2]Rater 2 cosmin'!D26,1,0)</f>
        <v>1</v>
      </c>
      <c r="E26" s="134">
        <f>IF('[2]RoB COSMIN'!E26='[2]Rater 2 cosmin'!E26,1,0)</f>
        <v>1</v>
      </c>
      <c r="F26" s="134">
        <f>IF('[2]RoB COSMIN'!F26='[2]Rater 2 cosmin'!F26,1,0)</f>
        <v>1</v>
      </c>
      <c r="G26" s="134">
        <f>IF('[2]RoB COSMIN'!G26='[2]Rater 2 cosmin'!G26,1,0)</f>
        <v>1</v>
      </c>
      <c r="H26" s="134">
        <f>IF('[2]RoB COSMIN'!H26='[2]Rater 2 cosmin'!H26,1,0)</f>
        <v>1</v>
      </c>
      <c r="I26" s="134">
        <f>IF('[2]RoB COSMIN'!I26='[2]Rater 2 cosmin'!I26,1,0)</f>
        <v>1</v>
      </c>
      <c r="J26" s="134">
        <f>IF('[2]RoB COSMIN'!J26='[2]Rater 2 cosmin'!J26,1,0)</f>
        <v>1</v>
      </c>
      <c r="K26" s="134">
        <f>IF('[2]RoB COSMIN'!K26='[2]Rater 2 cosmin'!K26,1,0)</f>
        <v>1</v>
      </c>
      <c r="L26">
        <f>IF('[2]Rater 2 cosmin - additional pap'!H26='[2]RoB COSMIN'!H26,1,0)</f>
        <v>1</v>
      </c>
      <c r="M26" s="133">
        <f t="shared" si="4"/>
        <v>1</v>
      </c>
      <c r="N26">
        <f t="shared" si="5"/>
        <v>10</v>
      </c>
      <c r="P26">
        <f>IF('[2]Rater 2 cosmin - additional pap'!L26='[2]RoB COSMIN'!L26,1,0)</f>
        <v>1</v>
      </c>
    </row>
    <row r="27" spans="1:16" ht="30.95" customHeight="1">
      <c r="A27" s="115">
        <v>6</v>
      </c>
      <c r="B27" s="124" t="s">
        <v>205</v>
      </c>
      <c r="C27" s="134">
        <f>IF('[2]RoB COSMIN'!C27='[2]Rater 2 cosmin'!C27,1,0)</f>
        <v>1</v>
      </c>
      <c r="D27" s="134">
        <f>IF('[2]RoB COSMIN'!D27='[2]Rater 2 cosmin'!D27,1,0)</f>
        <v>1</v>
      </c>
      <c r="E27" s="134">
        <f>IF('[2]RoB COSMIN'!E27='[2]Rater 2 cosmin'!E27,1,0)</f>
        <v>1</v>
      </c>
      <c r="F27" s="134">
        <f>IF('[2]RoB COSMIN'!F27='[2]Rater 2 cosmin'!F27,1,0)</f>
        <v>1</v>
      </c>
      <c r="G27" s="134">
        <f>IF('[2]RoB COSMIN'!G27='[2]Rater 2 cosmin'!G27,1,0)</f>
        <v>1</v>
      </c>
      <c r="H27" s="134">
        <f>IF('[2]RoB COSMIN'!H27='[2]Rater 2 cosmin'!H27,1,0)</f>
        <v>1</v>
      </c>
      <c r="I27" s="134">
        <f>IF('[2]RoB COSMIN'!I27='[2]Rater 2 cosmin'!I27,1,0)</f>
        <v>1</v>
      </c>
      <c r="J27" s="134">
        <f>IF('[2]RoB COSMIN'!J27='[2]Rater 2 cosmin'!J27,1,0)</f>
        <v>1</v>
      </c>
      <c r="K27" s="134">
        <f>IF('[2]RoB COSMIN'!K27='[2]Rater 2 cosmin'!K27,1,0)</f>
        <v>1</v>
      </c>
      <c r="L27">
        <f>IF('[2]Rater 2 cosmin - additional pap'!H27='[2]RoB COSMIN'!H27,1,0)</f>
        <v>1</v>
      </c>
      <c r="M27" s="133">
        <f t="shared" si="4"/>
        <v>1</v>
      </c>
      <c r="N27">
        <f t="shared" si="5"/>
        <v>10</v>
      </c>
      <c r="P27">
        <f>IF('[2]Rater 2 cosmin - additional pap'!L27='[2]RoB COSMIN'!L27,1,0)</f>
        <v>1</v>
      </c>
    </row>
    <row r="28" spans="1:16" ht="36.950000000000003" customHeight="1">
      <c r="A28" s="115">
        <v>7</v>
      </c>
      <c r="B28" s="124" t="s">
        <v>206</v>
      </c>
      <c r="C28" s="134">
        <f>IF('[2]RoB COSMIN'!C28='[2]Rater 2 cosmin'!C28,1,0)</f>
        <v>1</v>
      </c>
      <c r="D28" s="134">
        <f>IF('[2]RoB COSMIN'!D28='[2]Rater 2 cosmin'!D28,1,0)</f>
        <v>1</v>
      </c>
      <c r="E28" s="134">
        <f>IF('[2]RoB COSMIN'!E28='[2]Rater 2 cosmin'!E28,1,0)</f>
        <v>1</v>
      </c>
      <c r="F28" s="134">
        <f>IF('[2]RoB COSMIN'!F28='[2]Rater 2 cosmin'!F28,1,0)</f>
        <v>1</v>
      </c>
      <c r="G28" s="134">
        <f>IF('[2]RoB COSMIN'!G28='[2]Rater 2 cosmin'!G28,1,0)</f>
        <v>1</v>
      </c>
      <c r="H28" s="134">
        <f>IF('[2]RoB COSMIN'!H28='[2]Rater 2 cosmin'!H28,1,0)</f>
        <v>1</v>
      </c>
      <c r="I28" s="134">
        <f>IF('[2]RoB COSMIN'!I28='[2]Rater 2 cosmin'!I28,1,0)</f>
        <v>1</v>
      </c>
      <c r="J28" s="134">
        <f>IF('[2]RoB COSMIN'!J28='[2]Rater 2 cosmin'!J28,1,0)</f>
        <v>1</v>
      </c>
      <c r="K28" s="134">
        <f>IF('[2]RoB COSMIN'!K28='[2]Rater 2 cosmin'!K28,1,0)</f>
        <v>1</v>
      </c>
      <c r="L28">
        <f>IF('[2]Rater 2 cosmin - additional pap'!H28='[2]RoB COSMIN'!H28,1,0)</f>
        <v>1</v>
      </c>
      <c r="M28" s="133">
        <f t="shared" si="4"/>
        <v>1</v>
      </c>
      <c r="N28">
        <f t="shared" si="5"/>
        <v>10</v>
      </c>
      <c r="P28">
        <f>IF('[2]Rater 2 cosmin - additional pap'!L28='[2]RoB COSMIN'!L28,1,0)</f>
        <v>1</v>
      </c>
    </row>
    <row r="29" spans="1:16" ht="27" customHeight="1">
      <c r="A29" s="115">
        <v>8</v>
      </c>
      <c r="B29" s="135" t="s">
        <v>184</v>
      </c>
      <c r="C29" s="125"/>
      <c r="D29" s="125"/>
      <c r="E29" s="125"/>
      <c r="F29" s="125"/>
      <c r="G29" s="125"/>
      <c r="H29" s="125"/>
      <c r="I29" s="125"/>
      <c r="J29" s="125"/>
      <c r="K29" s="125"/>
      <c r="L29" s="132"/>
    </row>
    <row r="30" spans="1:16" ht="21.95" customHeight="1" thickBot="1">
      <c r="A30" s="126"/>
      <c r="B30" s="127" t="s">
        <v>207</v>
      </c>
      <c r="C30" s="128" t="s">
        <v>208</v>
      </c>
      <c r="D30" s="128" t="s">
        <v>192</v>
      </c>
      <c r="E30" s="128" t="s">
        <v>208</v>
      </c>
      <c r="F30" s="128" t="s">
        <v>192</v>
      </c>
      <c r="G30" s="128" t="s">
        <v>208</v>
      </c>
      <c r="H30" s="128" t="s">
        <v>208</v>
      </c>
      <c r="I30" s="128" t="s">
        <v>197</v>
      </c>
      <c r="J30" s="128" t="s">
        <v>208</v>
      </c>
      <c r="K30" s="128" t="s">
        <v>192</v>
      </c>
      <c r="L30" s="132"/>
    </row>
    <row r="32" spans="1:16">
      <c r="N32" s="133">
        <f>SUM(N7:N28)/(14*10)</f>
        <v>0.97857142857142854</v>
      </c>
    </row>
  </sheetData>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23E2B-8B36-466F-8D5F-186CDDFA5892}">
  <dimension ref="A1:BP22"/>
  <sheetViews>
    <sheetView tabSelected="1" workbookViewId="0">
      <pane xSplit="1" ySplit="2" topLeftCell="P3" activePane="bottomRight" state="frozen"/>
      <selection pane="bottomRight" activeCell="Q5" sqref="Q5"/>
      <selection pane="bottomLeft"/>
      <selection pane="topRight"/>
    </sheetView>
  </sheetViews>
  <sheetFormatPr defaultRowHeight="15"/>
  <cols>
    <col min="2" max="2" width="70.5703125" customWidth="1"/>
    <col min="3" max="3" width="11.7109375" customWidth="1"/>
    <col min="4" max="4" width="9.140625" style="80"/>
    <col min="5" max="5" width="11.5703125" style="80" customWidth="1"/>
    <col min="6" max="11" width="9.140625" style="80"/>
    <col min="21" max="23" width="9.140625" style="100"/>
    <col min="36" max="36" width="10.7109375" bestFit="1" customWidth="1"/>
    <col min="39" max="41" width="9.140625" style="207"/>
    <col min="42" max="44" width="9.140625" style="100"/>
    <col min="61" max="61" width="10" style="100" bestFit="1" customWidth="1"/>
    <col min="62" max="66" width="9.140625" style="100"/>
  </cols>
  <sheetData>
    <row r="1" spans="1:68" s="1" customFormat="1">
      <c r="D1" s="152"/>
      <c r="E1" s="152" t="s">
        <v>209</v>
      </c>
      <c r="F1" s="152"/>
      <c r="G1" s="151" t="s">
        <v>192</v>
      </c>
      <c r="H1" s="151" t="s">
        <v>210</v>
      </c>
      <c r="I1" s="151" t="s">
        <v>211</v>
      </c>
      <c r="J1" s="151" t="s">
        <v>212</v>
      </c>
      <c r="K1" s="151"/>
      <c r="M1" s="1" t="s">
        <v>213</v>
      </c>
      <c r="R1" s="1" t="s">
        <v>214</v>
      </c>
      <c r="U1" s="99"/>
      <c r="V1" s="99" t="s">
        <v>215</v>
      </c>
      <c r="W1" s="99"/>
      <c r="AA1" s="1" t="s">
        <v>216</v>
      </c>
      <c r="AE1" s="208" t="s">
        <v>217</v>
      </c>
      <c r="AF1" s="208"/>
      <c r="AG1" s="208"/>
      <c r="AJ1" s="209" t="s">
        <v>218</v>
      </c>
      <c r="AK1" s="209"/>
      <c r="AL1" s="209"/>
      <c r="AM1" s="209"/>
      <c r="AN1" s="209"/>
      <c r="AO1" s="209"/>
      <c r="AP1" s="209"/>
      <c r="AQ1" s="209"/>
      <c r="AR1" s="209"/>
      <c r="AS1" s="153"/>
      <c r="AU1" s="210" t="s">
        <v>219</v>
      </c>
      <c r="AV1" s="210"/>
      <c r="AW1" s="210"/>
      <c r="AX1" s="210"/>
      <c r="AY1" s="210"/>
      <c r="AZ1" s="210"/>
      <c r="BA1" s="210"/>
      <c r="BB1" s="210"/>
      <c r="BC1" s="210"/>
      <c r="BD1" s="154"/>
      <c r="BF1" s="211" t="s">
        <v>220</v>
      </c>
      <c r="BG1" s="211"/>
      <c r="BH1" s="211"/>
      <c r="BI1" s="211"/>
      <c r="BJ1" s="211"/>
      <c r="BK1" s="211"/>
      <c r="BL1" s="211"/>
      <c r="BM1" s="211"/>
      <c r="BN1" s="211"/>
    </row>
    <row r="2" spans="1:68" s="1" customFormat="1">
      <c r="B2" s="1" t="s">
        <v>221</v>
      </c>
      <c r="D2" s="155" t="s">
        <v>222</v>
      </c>
      <c r="E2" s="156" t="s">
        <v>219</v>
      </c>
      <c r="F2" s="157" t="s">
        <v>220</v>
      </c>
      <c r="G2" s="158">
        <f>'[1]Loadings resolved - weighted M'!J4+'[1]Loadings resolved - weighted M'!O4+'[1]Loadings resolved - weighted M'!T4+'[1]Loadings resolved - weighted M'!Y4+'[1]Loadings resolved - weighted M'!AD4+'[1]Loadings resolved - weighted M'!AI4+'[1]Loadings resolved - weighted M'!AN4+'[1]Loadings resolved - weighted M'!AS4+'[1]Loadings resolved - weighted M'!AX4+'[1]Loadings resolved - weighted M'!BC4+'[1]Loadings resolved - weighted M'!BH4+'[1]Loadings resolved - weighted M'!BM4+'[1]Loadings resolved - weighted M'!BR4+'[1]Loadings resolved - weighted M'!BW4</f>
        <v>6726</v>
      </c>
      <c r="H2" s="158">
        <f>'[1]Loadings resolved - weighted M'!J4+'[1]Loadings resolved - weighted M'!O4+'[1]Loadings resolved - weighted M'!T4+'[1]Loadings resolved - weighted M'!Y4+'[1]Loadings resolved - weighted M'!AD4+'[1]Loadings resolved - weighted M'!AI4+'[1]Loadings resolved - weighted M'!AN4+'[1]Loadings resolved - weighted M'!AX4+'[1]Loadings resolved - weighted M'!BC4+'[1]Loadings resolved - weighted M'!BH4+'[1]Loadings resolved - weighted M'!BM4+'[1]Loadings resolved - weighted M'!BR4+'[1]Loadings resolved - weighted M'!BW4</f>
        <v>6202</v>
      </c>
      <c r="I2" s="151">
        <f>COUNT('[1]Loadings resolved - weighted M'!J2,'[1]Loadings resolved - weighted M'!O4,'[1]Loadings resolved - weighted M'!T4,'[1]Loadings resolved - weighted M'!Y4,'[1]Loadings resolved - weighted M'!AD4,'[1]Loadings resolved - weighted M'!AI4,'[1]Loadings resolved - weighted M'!AN4,'[1]Loadings resolved - weighted M'!AS4,'[1]Loadings resolved - weighted M'!AX4,'[1]Loadings resolved - weighted M'!BC4,'[1]Loadings resolved - weighted M'!BH4,'[1]Loadings resolved - weighted M'!BM4,'[1]Loadings resolved - weighted M'!BR4,'[1]Loadings resolved - weighted M'!BW4)</f>
        <v>14</v>
      </c>
      <c r="J2" s="151">
        <v>13</v>
      </c>
      <c r="K2" s="151"/>
      <c r="L2" s="159" t="s">
        <v>222</v>
      </c>
      <c r="M2" s="160" t="s">
        <v>219</v>
      </c>
      <c r="N2" s="161" t="s">
        <v>220</v>
      </c>
      <c r="Q2" s="159" t="s">
        <v>222</v>
      </c>
      <c r="R2" s="160" t="s">
        <v>219</v>
      </c>
      <c r="S2" s="161" t="s">
        <v>220</v>
      </c>
      <c r="U2" s="159" t="s">
        <v>222</v>
      </c>
      <c r="V2" s="160" t="s">
        <v>219</v>
      </c>
      <c r="W2" s="161" t="s">
        <v>220</v>
      </c>
      <c r="Z2" s="159" t="s">
        <v>222</v>
      </c>
      <c r="AA2" s="160" t="s">
        <v>219</v>
      </c>
      <c r="AB2" s="161" t="s">
        <v>220</v>
      </c>
      <c r="AC2" s="161"/>
      <c r="AD2" s="99"/>
      <c r="AE2" s="159" t="s">
        <v>222</v>
      </c>
      <c r="AF2" s="160" t="s">
        <v>219</v>
      </c>
      <c r="AG2" s="161" t="s">
        <v>220</v>
      </c>
      <c r="AH2" s="99"/>
      <c r="AJ2" s="162" t="s">
        <v>223</v>
      </c>
      <c r="AK2" s="162" t="s">
        <v>192</v>
      </c>
      <c r="AL2" s="162" t="s">
        <v>211</v>
      </c>
      <c r="AM2" s="163" t="s">
        <v>224</v>
      </c>
      <c r="AN2" s="163" t="s">
        <v>225</v>
      </c>
      <c r="AO2" s="163" t="s">
        <v>226</v>
      </c>
      <c r="AP2" s="164" t="s">
        <v>227</v>
      </c>
      <c r="AQ2" s="164" t="s">
        <v>228</v>
      </c>
      <c r="AR2" s="164" t="s">
        <v>229</v>
      </c>
      <c r="AS2" s="162" t="s">
        <v>230</v>
      </c>
      <c r="AT2" s="165"/>
      <c r="AU2" s="166" t="s">
        <v>223</v>
      </c>
      <c r="AV2" s="166" t="s">
        <v>192</v>
      </c>
      <c r="AW2" s="166" t="s">
        <v>211</v>
      </c>
      <c r="AX2" s="167" t="s">
        <v>224</v>
      </c>
      <c r="AY2" s="167" t="s">
        <v>225</v>
      </c>
      <c r="AZ2" s="167" t="s">
        <v>226</v>
      </c>
      <c r="BA2" s="167" t="s">
        <v>227</v>
      </c>
      <c r="BB2" s="167" t="s">
        <v>231</v>
      </c>
      <c r="BC2" s="167" t="s">
        <v>229</v>
      </c>
      <c r="BD2" s="166" t="s">
        <v>230</v>
      </c>
      <c r="BE2" s="165"/>
      <c r="BF2" s="168" t="s">
        <v>223</v>
      </c>
      <c r="BG2" s="168" t="s">
        <v>192</v>
      </c>
      <c r="BH2" s="168" t="s">
        <v>211</v>
      </c>
      <c r="BI2" s="169" t="s">
        <v>224</v>
      </c>
      <c r="BJ2" s="169" t="s">
        <v>225</v>
      </c>
      <c r="BK2" s="169" t="s">
        <v>226</v>
      </c>
      <c r="BL2" s="170" t="s">
        <v>227</v>
      </c>
      <c r="BM2" s="169" t="s">
        <v>228</v>
      </c>
      <c r="BN2" s="169" t="s">
        <v>229</v>
      </c>
      <c r="BO2" s="168" t="s">
        <v>230</v>
      </c>
    </row>
    <row r="3" spans="1:68">
      <c r="A3" s="171"/>
      <c r="B3" s="154" t="s">
        <v>219</v>
      </c>
      <c r="C3" s="154"/>
      <c r="D3" s="172"/>
      <c r="E3" s="173"/>
      <c r="F3" s="174"/>
      <c r="G3" s="175"/>
      <c r="H3" s="175"/>
      <c r="L3" s="176"/>
      <c r="M3" s="171"/>
      <c r="Q3" s="176"/>
      <c r="R3" s="171"/>
      <c r="U3" s="177"/>
      <c r="V3" s="178"/>
      <c r="Z3" s="176"/>
      <c r="AA3" s="171"/>
      <c r="AE3" s="176"/>
      <c r="AF3" s="171"/>
      <c r="AJ3" s="176"/>
      <c r="AK3" s="176"/>
      <c r="AL3" s="176"/>
      <c r="AM3" s="179"/>
      <c r="AN3" s="179"/>
      <c r="AO3" s="179"/>
      <c r="AP3" s="177"/>
      <c r="AQ3" s="177"/>
      <c r="AR3" s="177"/>
      <c r="AS3" s="176"/>
      <c r="AU3" s="171"/>
      <c r="AV3" s="171"/>
      <c r="AW3" s="171"/>
      <c r="AX3" s="178"/>
      <c r="AY3" s="178"/>
      <c r="AZ3" s="178"/>
      <c r="BA3" s="178"/>
      <c r="BB3" s="178"/>
      <c r="BC3" s="178"/>
      <c r="BD3" s="171"/>
      <c r="BF3" s="180"/>
      <c r="BG3" s="180"/>
      <c r="BH3" s="180"/>
      <c r="BI3" s="181"/>
      <c r="BJ3" s="181"/>
      <c r="BK3" s="181"/>
      <c r="BL3" s="181"/>
      <c r="BM3" s="181"/>
      <c r="BN3" s="181"/>
      <c r="BO3" s="180"/>
      <c r="BP3" s="182"/>
    </row>
    <row r="4" spans="1:68">
      <c r="A4" s="171">
        <v>1</v>
      </c>
      <c r="B4" s="171" t="s">
        <v>232</v>
      </c>
      <c r="C4" s="171"/>
      <c r="D4" s="172">
        <f>SUM('[1]Loadings resolved - weighted M'!G4*'[1]Loadings resolved - weighted M'!J4,'[1]Loadings resolved - weighted M'!L4*'[1]Loadings resolved - weighted M'!O4,'[1]Loadings resolved - weighted M'!Q4*'[1]Loadings resolved - weighted M'!T4,'[1]Loadings resolved - weighted M'!V4*'[1]Loadings resolved - weighted M'!Y4,'[1]Loadings resolved - weighted M'!AA4*'[1]Loadings resolved - weighted M'!AD4,'[1]Loadings resolved - weighted M'!AF4*'[1]Loadings resolved - weighted M'!AI4,'[1]Loadings resolved - weighted M'!AK4*'[1]Loadings resolved - weighted M'!AN4,'[1]Loadings resolved - weighted M'!AP4*'[1]Loadings resolved - weighted M'!AS4,'[1]Loadings resolved - weighted M'!AU4*'[1]Loadings resolved - weighted M'!AX4,'[1]Loadings resolved - weighted M'!AZ4*'[1]Loadings resolved - weighted M'!BC4,'[1]Loadings resolved - weighted M'!BE4*'[1]Loadings resolved - weighted M'!BH4,'[1]Loadings resolved - weighted M'!BJ4*'[1]Loadings resolved - weighted M'!BM4,'[1]Loadings resolved - weighted M'!BO4*'[1]Loadings resolved - weighted M'!BR4,'[1]Loadings resolved - weighted M'!BT4*'[1]Loadings resolved - weighted M'!BW4)/G4</f>
        <v>0.75248706512042818</v>
      </c>
      <c r="E4" s="173">
        <f>SUM('[1]Loadings resolved - weighted M'!H4*'[1]Loadings resolved - weighted M'!J4,'[1]Loadings resolved - weighted M'!M4*'[1]Loadings resolved - weighted M'!O4,'[1]Loadings resolved - weighted M'!R4*'[1]Loadings resolved - weighted M'!T4,'[1]Loadings resolved - weighted M'!W4*'[1]Loadings resolved - weighted M'!Y4,'[1]Loadings resolved - weighted M'!AB4*'[1]Loadings resolved - weighted M'!AD4,'[1]Loadings resolved - weighted M'!AG4*'[1]Loadings resolved - weighted M'!AI4,'[1]Loadings resolved - weighted M'!AL4*'[1]Loadings resolved - weighted M'!AN4,'[1]Loadings resolved - weighted M'!AV4*'[1]Loadings resolved - weighted M'!AX4,'[1]Loadings resolved - weighted M'!BA4*'[1]Loadings resolved - weighted M'!BC4,'[1]Loadings resolved - weighted M'!BF4*'[1]Loadings resolved - weighted M'!BH4,'[1]Loadings resolved - weighted M'!BK4*'[1]Loadings resolved - weighted M'!BM4,'[1]Loadings resolved - weighted M'!BP4*'[1]Loadings resolved - weighted M'!BR4,'[1]Loadings resolved - weighted M'!BU4*'[1]Loadings resolved - weighted M'!BW4)/'Weighted means, CIs, summary'!H4</f>
        <v>-9.2200257981296399E-2</v>
      </c>
      <c r="F4" s="174"/>
      <c r="G4" s="175">
        <f>G2</f>
        <v>6726</v>
      </c>
      <c r="H4" s="175">
        <f>H2</f>
        <v>6202</v>
      </c>
      <c r="L4" s="177">
        <f>MIN('[1]Loadings resolved - weighted M'!G4,'[1]Loadings resolved - weighted M'!L4,'[1]Loadings resolved - weighted M'!Q4,'[1]Loadings resolved - weighted M'!V4,'[1]Loadings resolved - weighted M'!AA4,'[1]Loadings resolved - weighted M'!AF4,'[1]Loadings resolved - weighted M'!AK4,'[1]Loadings resolved - weighted M'!AP4,'[1]Loadings resolved - weighted M'!AU4,'[1]Loadings resolved - weighted M'!AZ4,'[1]Loadings resolved - weighted M'!BE4,'[1]Loadings resolved - weighted M'!BJ4,'[1]Loadings resolved - weighted M'!BO4,'[1]Loadings resolved - weighted M'!BT4)</f>
        <v>0.52</v>
      </c>
      <c r="M4" s="178">
        <f>MIN('[1]Loadings resolved - weighted M'!H4,'[1]Loadings resolved - weighted M'!M4,'[1]Loadings resolved - weighted M'!R4,'[1]Loadings resolved - weighted M'!W4,'[1]Loadings resolved - weighted M'!AB4,'[1]Loadings resolved - weighted M'!AG4,'[1]Loadings resolved - weighted M'!AL4,'[1]Loadings resolved - weighted M'!AV4,'[1]Loadings resolved - weighted M'!BA4,'[1]Loadings resolved - weighted M'!BF4,'[1]Loadings resolved - weighted M'!BK4,'[1]Loadings resolved - weighted M'!BP4,'[1]Loadings resolved - weighted M'!BU4)</f>
        <v>-0.51</v>
      </c>
      <c r="N4" s="100"/>
      <c r="Q4" s="177">
        <f>MAX('[1]Loadings resolved - weighted M'!G4,'[1]Loadings resolved - weighted M'!L4,'[1]Loadings resolved - weighted M'!Q4,'[1]Loadings resolved - weighted M'!V4,'[1]Loadings resolved - weighted M'!AA4,'[1]Loadings resolved - weighted M'!AF4,'[1]Loadings resolved - weighted M'!AK4,'[1]Loadings resolved - weighted M'!AP4,'[1]Loadings resolved - weighted M'!AU4,'[1]Loadings resolved - weighted M'!AZ4,'[1]Loadings resolved - weighted M'!BE4,'[1]Loadings resolved - weighted M'!BJ4,'[1]Loadings resolved - weighted M'!BO4,'[1]Loadings resolved - weighted M'!BT4)</f>
        <v>0.9</v>
      </c>
      <c r="R4" s="178">
        <f>MAX('[1]Loadings resolved - weighted M'!H4,'[1]Loadings resolved - weighted M'!M4,'[1]Loadings resolved - weighted M'!R4,'[1]Loadings resolved - weighted M'!W4,'[1]Loadings resolved - weighted M'!AB4,'[1]Loadings resolved - weighted M'!AG4,'[1]Loadings resolved - weighted M'!AL4,'[1]Loadings resolved - weighted M'!AV4,'[1]Loadings resolved - weighted M'!BA4,'[1]Loadings resolved - weighted M'!BF4,'[1]Loadings resolved - weighted M'!BK4,'[1]Loadings resolved - weighted M'!BP4,'[1]Loadings resolved - weighted M'!BU4)</f>
        <v>0.23</v>
      </c>
      <c r="U4" s="177">
        <f>ABS(L4-Q4)</f>
        <v>0.38</v>
      </c>
      <c r="V4" s="178">
        <f>ABS(M4-R4)</f>
        <v>0.74</v>
      </c>
      <c r="Z4" s="183">
        <f>MEDIAN('[1]Loadings resolved - weighted M'!G4,'[1]Loadings resolved - weighted M'!L4,'[1]Loadings resolved - weighted M'!Q4,'[1]Loadings resolved - weighted M'!V4,'[1]Loadings resolved - weighted M'!AA4,'[1]Loadings resolved - weighted M'!AF4,'[1]Loadings resolved - weighted M'!AK4,'[1]Loadings resolved - weighted M'!AP4,'[1]Loadings resolved - weighted M'!AU4,'[1]Loadings resolved - weighted M'!AZ4,'[1]Loadings resolved - weighted M'!BE4,'[1]Loadings resolved - weighted M'!BJ4,'[1]Loadings resolved - weighted M'!BO4,'[1]Loadings resolved - weighted M'!BT4)</f>
        <v>0.77</v>
      </c>
      <c r="AA4" s="178">
        <f>MEDIAN('[1]Loadings resolved - weighted M'!H4,'[1]Loadings resolved - weighted M'!M4,'[1]Loadings resolved - weighted M'!R4,'[1]Loadings resolved - weighted M'!W4,'[1]Loadings resolved - weighted M'!AB4,'[1]Loadings resolved - weighted M'!AG4,'[1]Loadings resolved - weighted M'!AL4,'[1]Loadings resolved - weighted M'!AV4,'[1]Loadings resolved - weighted M'!BA4,'[1]Loadings resolved - weighted M'!BF4,'[1]Loadings resolved - weighted M'!BK4,'[1]Loadings resolved - weighted M'!BP4,'[1]Loadings resolved - weighted M'!BU4)</f>
        <v>-0.08</v>
      </c>
      <c r="AE4" s="177">
        <f t="shared" ref="AE4:AF10" si="0">D4-Z4</f>
        <v>-1.751293487957184E-2</v>
      </c>
      <c r="AF4" s="178">
        <f t="shared" si="0"/>
        <v>-1.2200257981296397E-2</v>
      </c>
      <c r="AG4" s="100"/>
      <c r="AJ4" s="184">
        <f>SUM('[1]Loadings resolved - weighted M'!G34,'[1]Loadings resolved - weighted M'!J34,'[1]Loadings resolved - weighted M'!Q34,'[1]Loadings resolved - weighted M'!V34,'[1]Loadings resolved - weighted M'!AA34,'[1]Loadings resolved - weighted M'!AF34,'[1]Loadings resolved - weighted M'!AK34,'[1]Loadings resolved - weighted M'!AP34,'[1]Loadings resolved - weighted M'!AU34,'[1]Loadings resolved - weighted M'!AZ34,'[1]Loadings resolved - weighted M'!BE34,'[1]Loadings resolved - weighted M'!BJ34,'[1]Loadings resolved - weighted M'!BO34,'[1]Loadings resolved - weighted M'!BT34)</f>
        <v>33.480242078595239</v>
      </c>
      <c r="AK4" s="185">
        <f>SUM('[1]Loadings resolved - weighted M'!J4,'[1]Loadings resolved - weighted M'!O4,'[1]Loadings resolved - weighted M'!T4,'[1]Loadings resolved - weighted M'!Y4,'[1]Loadings resolved - weighted M'!AD4,'[1]Loadings resolved - weighted M'!AI4,'[1]Loadings resolved - weighted M'!AN4,'[1]Loadings resolved - weighted M'!AS4,'[1]Loadings resolved - weighted M'!AX4,'[1]Loadings resolved - weighted M'!BC4,'[1]Loadings resolved - weighted M'!BH4,'[1]Loadings resolved - weighted M'!BM4,'[1]Loadings resolved - weighted M'!BR4,'[1]Loadings resolved - weighted M'!BW4)</f>
        <v>6726</v>
      </c>
      <c r="AL4" s="185">
        <f>COUNT('[1]Loadings resolved - weighted M'!J19,'[1]Loadings resolved - weighted M'!O19,'[1]Loadings resolved - weighted M'!T19,'[1]Loadings resolved - weighted M'!Y19,'[1]Loadings resolved - weighted M'!AD19,'[1]Loadings resolved - weighted M'!AI19,'[1]Loadings resolved - weighted M'!AN19,'[1]Loadings resolved - weighted M'!AS19,'[1]Loadings resolved - weighted M'!AX19,'[1]Loadings resolved - weighted M'!BC19,'[1]Loadings resolved - weighted M'!BM19,'[1]Loadings resolved - weighted M'!BR19,'[1]Loadings resolved - weighted M'!BH19,'[1]Loadings resolved - weighted M'!BW19)</f>
        <v>14</v>
      </c>
      <c r="AM4" s="179">
        <f>AJ4/((AL4-1)*AK4/AL4)</f>
        <v>5.3606371268822865E-3</v>
      </c>
      <c r="AN4" s="179">
        <f>SQRT(AM4)</f>
        <v>7.3216371986614348E-2</v>
      </c>
      <c r="AO4" s="179">
        <f>AN4/AL4</f>
        <v>5.2297408561867388E-3</v>
      </c>
      <c r="AP4" s="177">
        <f>D4</f>
        <v>0.75248706512042818</v>
      </c>
      <c r="AQ4" s="177">
        <f t="shared" ref="AQ4:AQ10" si="1">D4-(1.96*AO4)</f>
        <v>0.74223677304230218</v>
      </c>
      <c r="AR4" s="177">
        <f t="shared" ref="AR4:AR10" si="2">D4+(1.96*AO4)</f>
        <v>0.76273735719855418</v>
      </c>
      <c r="AS4" s="177">
        <f>(AR4-AQ4)/2</f>
        <v>1.0250292078126E-2</v>
      </c>
      <c r="AT4" s="100"/>
      <c r="AU4" s="186">
        <f>SUM('[1]Loadings resolved - weighted M'!H34,'[1]Loadings resolved - weighted M'!M34,'[1]Loadings resolved - weighted M'!R34,'[1]Loadings resolved - weighted M'!W34,'[1]Loadings resolved - weighted M'!AB34,'[1]Loadings resolved - weighted M'!AG34,'[1]Loadings resolved - weighted M'!AL34,'[1]Loadings resolved - weighted M'!AV34,'[1]Loadings resolved - weighted M'!BA34,'[1]Loadings resolved - weighted M'!BK34,'[1]Loadings resolved - weighted M'!BP34,'[1]Loadings resolved - weighted M'!BU34)</f>
        <v>557.65367546295579</v>
      </c>
      <c r="AV4" s="187">
        <f>SUM('[1]Loadings resolved - weighted M'!J4,'[1]Loadings resolved - weighted M'!O4,'[1]Loadings resolved - weighted M'!T4,'[1]Loadings resolved - weighted M'!Y4,'[1]Loadings resolved - weighted M'!AD4,'[1]Loadings resolved - weighted M'!AI4,'[1]Loadings resolved - weighted M'!AN4,'[1]Loadings resolved - weighted M'!AX4,'[1]Loadings resolved - weighted M'!BC4,'[1]Loadings resolved - weighted M'!BH4,'[1]Loadings resolved - weighted M'!BM4,'[1]Loadings resolved - weighted M'!BR4,'[1]Loadings resolved - weighted M'!BW4)</f>
        <v>6202</v>
      </c>
      <c r="AW4" s="187">
        <f>COUNT('[1]Loadings resolved - weighted M'!H19,'[1]Loadings resolved - weighted M'!M19,'[1]Loadings resolved - weighted M'!R19,'[1]Loadings resolved - weighted M'!W19,'[1]Loadings resolved - weighted M'!AB19,'[1]Loadings resolved - weighted M'!AG19,'[1]Loadings resolved - weighted M'!AL19,'[1]Loadings resolved - weighted M'!AV19,'[1]Loadings resolved - weighted M'!BA19,'[1]Loadings resolved - weighted M'!BF19,'[1]Loadings resolved - weighted M'!BK19,'[1]Loadings resolved - weighted M'!BP19,'[1]Loadings resolved - weighted M'!BU19)</f>
        <v>13</v>
      </c>
      <c r="AX4" s="178">
        <f>AU4/((AW4-1)*AV4/AW4)</f>
        <v>9.7408064347769871E-2</v>
      </c>
      <c r="AY4" s="178">
        <f>SQRT(AX4)</f>
        <v>0.31210265033762508</v>
      </c>
      <c r="AZ4" s="178">
        <f>AY4/AW4</f>
        <v>2.4007896179817315E-2</v>
      </c>
      <c r="BA4" s="178">
        <f>E4</f>
        <v>-9.2200257981296399E-2</v>
      </c>
      <c r="BB4" s="178">
        <f>BA4-(1.96*AZ4)</f>
        <v>-0.13925573449373835</v>
      </c>
      <c r="BC4" s="178">
        <f>BA4+(1.96*AZ4)</f>
        <v>-4.5144781468854464E-2</v>
      </c>
      <c r="BD4" s="178">
        <f>(BC4-BB4)/2</f>
        <v>4.7055476512441942E-2</v>
      </c>
      <c r="BE4" s="100"/>
      <c r="BF4" s="188">
        <f>BF12</f>
        <v>414.5162823068689</v>
      </c>
      <c r="BG4" s="189">
        <f>SUM('[1]Loadings resolved - weighted M'!J27,'[1]Loadings resolved - weighted M'!O27,'[1]Loadings resolved - weighted M'!T27,'[1]Loadings resolved - weighted M'!Y27,'[1]Loadings resolved - weighted M'!AD27,'[1]Loadings resolved - weighted M'!AI27,'[1]Loadings resolved - weighted M'!AN27,'[1]Loadings resolved - weighted M'!AS27,'[1]Loadings resolved - weighted M'!AX27,'[1]Loadings resolved - weighted M'!BC27,'[1]Loadings resolved - weighted M'!BH27,'[1]Loadings resolved - weighted M'!BM27,'[1]Loadings resolved - weighted M'!BR27,'[1]Loadings resolved - weighted M'!BW27)</f>
        <v>6726</v>
      </c>
      <c r="BH4" s="189">
        <f>COUNT('[1]Loadings resolved - weighted M'!I27,'[1]Loadings resolved - weighted M'!N27,'[1]Loadings resolved - weighted M'!S27,'[1]Loadings resolved - weighted M'!X27,'[1]Loadings resolved - weighted M'!AC27,'[1]Loadings resolved - weighted M'!AH27,'[1]Loadings resolved - weighted M'!AM27,'[1]Loadings resolved - weighted M'!AR27,'[1]Loadings resolved - weighted M'!AW27,'[1]Loadings resolved - weighted M'!BB27,'[1]Loadings resolved - weighted M'!BG27,'[1]Loadings resolved - weighted M'!BL27,'[1]Loadings resolved - weighted M'!BQ27,'[1]Loadings resolved - weighted M'!BV27)</f>
        <v>14</v>
      </c>
      <c r="BI4" s="181">
        <f>BF4/((BH4-1)*BG4/BH4)</f>
        <v>6.6369632794622074E-2</v>
      </c>
      <c r="BJ4" s="181">
        <f>SQRT(BI4)</f>
        <v>0.25762304398990021</v>
      </c>
      <c r="BK4" s="181">
        <f>BJ4/BH4</f>
        <v>1.8401645999278588E-2</v>
      </c>
      <c r="BL4" s="181">
        <f>F12</f>
        <v>0.17188581623550406</v>
      </c>
      <c r="BM4" s="181">
        <f>BL4-(1.96*BK4)</f>
        <v>0.13581859007691802</v>
      </c>
      <c r="BN4" s="181">
        <f>BL4+(1.96*BK4)</f>
        <v>0.2079530423940901</v>
      </c>
      <c r="BO4" s="181">
        <f>(BN4-BM4)/2</f>
        <v>3.6067226158586041E-2</v>
      </c>
    </row>
    <row r="5" spans="1:68">
      <c r="A5" s="171">
        <v>2</v>
      </c>
      <c r="B5" s="171" t="s">
        <v>233</v>
      </c>
      <c r="C5" s="171"/>
      <c r="D5" s="172">
        <f>SUM('[1]Loadings resolved - weighted M'!G5*'[1]Loadings resolved - weighted M'!J5,'[1]Loadings resolved - weighted M'!L5*'[1]Loadings resolved - weighted M'!O5,'[1]Loadings resolved - weighted M'!Q5*'[1]Loadings resolved - weighted M'!T5,'[1]Loadings resolved - weighted M'!V5*'[1]Loadings resolved - weighted M'!Y5,'[1]Loadings resolved - weighted M'!AA5*'[1]Loadings resolved - weighted M'!AD5,'[1]Loadings resolved - weighted M'!AF5*'[1]Loadings resolved - weighted M'!AI5,'[1]Loadings resolved - weighted M'!AK5*'[1]Loadings resolved - weighted M'!AN5,'[1]Loadings resolved - weighted M'!AP5*'[1]Loadings resolved - weighted M'!AS5,'[1]Loadings resolved - weighted M'!AU5*'[1]Loadings resolved - weighted M'!AX5,'[1]Loadings resolved - weighted M'!AZ5*'[1]Loadings resolved - weighted M'!BC5,'[1]Loadings resolved - weighted M'!BE5*'[1]Loadings resolved - weighted M'!BH5,'[1]Loadings resolved - weighted M'!BJ5*'[1]Loadings resolved - weighted M'!BM5,'[1]Loadings resolved - weighted M'!BO5*'[1]Loadings resolved - weighted M'!BR5,'[1]Loadings resolved - weighted M'!BT5*'[1]Loadings resolved - weighted M'!BW5)/G5</f>
        <v>0.68117543859649121</v>
      </c>
      <c r="E5" s="173">
        <f>SUM('[1]Loadings resolved - weighted M'!H5*'[1]Loadings resolved - weighted M'!J5,'[1]Loadings resolved - weighted M'!M5*'[1]Loadings resolved - weighted M'!O5,'[1]Loadings resolved - weighted M'!R5*'[1]Loadings resolved - weighted M'!T5,'[1]Loadings resolved - weighted M'!W5*'[1]Loadings resolved - weighted M'!Y5,'[1]Loadings resolved - weighted M'!AB5*'[1]Loadings resolved - weighted M'!AD5,'[1]Loadings resolved - weighted M'!AG5*'[1]Loadings resolved - weighted M'!AI5,'[1]Loadings resolved - weighted M'!AL5*'[1]Loadings resolved - weighted M'!AN5,'[1]Loadings resolved - weighted M'!AV5*'[1]Loadings resolved - weighted M'!AX5,'[1]Loadings resolved - weighted M'!BA5*'[1]Loadings resolved - weighted M'!BC5,'[1]Loadings resolved - weighted M'!BF5*'[1]Loadings resolved - weighted M'!BH5,'[1]Loadings resolved - weighted M'!BK5*'[1]Loadings resolved - weighted M'!BM5,'[1]Loadings resolved - weighted M'!BP5*'[1]Loadings resolved - weighted M'!BR5,'[1]Loadings resolved - weighted M'!BU5*'[1]Loadings resolved - weighted M'!BW5)/'Weighted means, CIs, summary'!H5</f>
        <v>0.11396033537568527</v>
      </c>
      <c r="F5" s="174"/>
      <c r="G5" s="175">
        <f>G4</f>
        <v>6726</v>
      </c>
      <c r="H5" s="175">
        <f>H2</f>
        <v>6202</v>
      </c>
      <c r="L5" s="177">
        <f>MIN('[1]Loadings resolved - weighted M'!G5,'[1]Loadings resolved - weighted M'!L5,'[1]Loadings resolved - weighted M'!Q5,'[1]Loadings resolved - weighted M'!V5,'[1]Loadings resolved - weighted M'!AA5,'[1]Loadings resolved - weighted M'!AF5,'[1]Loadings resolved - weighted M'!AK5,'[1]Loadings resolved - weighted M'!AP5,'[1]Loadings resolved - weighted M'!AU5,'[1]Loadings resolved - weighted M'!AZ5,'[1]Loadings resolved - weighted M'!BE5,'[1]Loadings resolved - weighted M'!BJ5,'[1]Loadings resolved - weighted M'!BO5,'[1]Loadings resolved - weighted M'!BT5)</f>
        <v>0.56999999999999995</v>
      </c>
      <c r="M5" s="178">
        <f>MIN('[1]Loadings resolved - weighted M'!H5,'[1]Loadings resolved - weighted M'!M5,'[1]Loadings resolved - weighted M'!R5,'[1]Loadings resolved - weighted M'!W5,'[1]Loadings resolved - weighted M'!AB5,'[1]Loadings resolved - weighted M'!AG5,'[1]Loadings resolved - weighted M'!AL5,'[1]Loadings resolved - weighted M'!AV5,'[1]Loadings resolved - weighted M'!BA5,'[1]Loadings resolved - weighted M'!BF5,'[1]Loadings resolved - weighted M'!BK5,'[1]Loadings resolved - weighted M'!BP5,'[1]Loadings resolved - weighted M'!BU5)</f>
        <v>-0.16600000000000001</v>
      </c>
      <c r="N5" s="100"/>
      <c r="Q5" s="177">
        <f>MAX('[1]Loadings resolved - weighted M'!G5,'[1]Loadings resolved - weighted M'!L5,'[1]Loadings resolved - weighted M'!Q5,'[1]Loadings resolved - weighted M'!V5,'[1]Loadings resolved - weighted M'!AA5,'[1]Loadings resolved - weighted M'!AF5,'[1]Loadings resolved - weighted M'!AK5,'[1]Loadings resolved - weighted M'!AP5,'[1]Loadings resolved - weighted M'!AU5,'[1]Loadings resolved - weighted M'!AZ5,'[1]Loadings resolved - weighted M'!BE5,'[1]Loadings resolved - weighted M'!BJ5,'[1]Loadings resolved - weighted M'!BO5,'[1]Loadings resolved - weighted M'!BT5)</f>
        <v>0.83</v>
      </c>
      <c r="R5" s="178">
        <f>MAX('[1]Loadings resolved - weighted M'!H5,'[1]Loadings resolved - weighted M'!M5,'[1]Loadings resolved - weighted M'!R5,'[1]Loadings resolved - weighted M'!W5,'[1]Loadings resolved - weighted M'!AB5,'[1]Loadings resolved - weighted M'!AG5,'[1]Loadings resolved - weighted M'!AL5,'[1]Loadings resolved - weighted M'!AV5,'[1]Loadings resolved - weighted M'!BA5,'[1]Loadings resolved - weighted M'!BF5,'[1]Loadings resolved - weighted M'!BK5,'[1]Loadings resolved - weighted M'!BP5,'[1]Loadings resolved - weighted M'!BU5)</f>
        <v>0.94</v>
      </c>
      <c r="U5" s="177">
        <f t="shared" ref="U5:W16" si="3">ABS(L5-Q5)</f>
        <v>0.26</v>
      </c>
      <c r="V5" s="178">
        <f t="shared" si="3"/>
        <v>1.1059999999999999</v>
      </c>
      <c r="Z5" s="183">
        <f>MEDIAN('[1]Loadings resolved - weighted M'!G5,'[1]Loadings resolved - weighted M'!L5,'[1]Loadings resolved - weighted M'!Q5,'[1]Loadings resolved - weighted M'!V5,'[1]Loadings resolved - weighted M'!AA5,'[1]Loadings resolved - weighted M'!AF5,'[1]Loadings resolved - weighted M'!AK5,'[1]Loadings resolved - weighted M'!AP5,'[1]Loadings resolved - weighted M'!AU5,'[1]Loadings resolved - weighted M'!AZ5,'[1]Loadings resolved - weighted M'!BE5,'[1]Loadings resolved - weighted M'!BJ5,'[1]Loadings resolved - weighted M'!BO5,'[1]Loadings resolved - weighted M'!BT5)</f>
        <v>0.68500000000000005</v>
      </c>
      <c r="AA5" s="178">
        <f>MEDIAN('[1]Loadings resolved - weighted M'!H5,'[1]Loadings resolved - weighted M'!M5,'[1]Loadings resolved - weighted M'!R5,'[1]Loadings resolved - weighted M'!W5,'[1]Loadings resolved - weighted M'!AB5,'[1]Loadings resolved - weighted M'!AG5,'[1]Loadings resolved - weighted M'!AL5,'[1]Loadings resolved - weighted M'!AV5,'[1]Loadings resolved - weighted M'!BA5,'[1]Loadings resolved - weighted M'!BF5,'[1]Loadings resolved - weighted M'!BK5,'[1]Loadings resolved - weighted M'!BP5,'[1]Loadings resolved - weighted M'!BU5)</f>
        <v>0.06</v>
      </c>
      <c r="AE5" s="177">
        <f t="shared" si="0"/>
        <v>-3.8245614035088416E-3</v>
      </c>
      <c r="AF5" s="178">
        <f t="shared" si="0"/>
        <v>5.3960335375685273E-2</v>
      </c>
      <c r="AG5" s="100"/>
      <c r="AJ5" s="184">
        <f>SUM('[1]Loadings resolved - weighted M'!G35,'[1]Loadings resolved - weighted M'!J35,'[1]Loadings resolved - weighted M'!Q35,'[1]Loadings resolved - weighted M'!V35,'[1]Loadings resolved - weighted M'!AA35,'[1]Loadings resolved - weighted M'!AF35,'[1]Loadings resolved - weighted M'!AK35,'[1]Loadings resolved - weighted M'!AP35,'[1]Loadings resolved - weighted M'!AU35,'[1]Loadings resolved - weighted M'!AZ35,'[1]Loadings resolved - weighted M'!BE35,'[1]Loadings resolved - weighted M'!BJ35,'[1]Loadings resolved - weighted M'!BO35,'[1]Loadings resolved - weighted M'!BT35)</f>
        <v>29.453595665743308</v>
      </c>
      <c r="AK5" s="185">
        <f>SUM('[1]Loadings resolved - weighted M'!J5,'[1]Loadings resolved - weighted M'!O5,'[1]Loadings resolved - weighted M'!T5,'[1]Loadings resolved - weighted M'!Y5,'[1]Loadings resolved - weighted M'!AD5,'[1]Loadings resolved - weighted M'!AI5,'[1]Loadings resolved - weighted M'!AN5,'[1]Loadings resolved - weighted M'!AS5,'[1]Loadings resolved - weighted M'!AX5,'[1]Loadings resolved - weighted M'!BC5,'[1]Loadings resolved - weighted M'!BH5,'[1]Loadings resolved - weighted M'!BM5,'[1]Loadings resolved - weighted M'!BR5,'[1]Loadings resolved - weighted M'!BW5)</f>
        <v>6726</v>
      </c>
      <c r="AL5" s="185">
        <f>COUNT('[1]Loadings resolved - weighted M'!J20,'[1]Loadings resolved - weighted M'!O20,'[1]Loadings resolved - weighted M'!T20,'[1]Loadings resolved - weighted M'!Y20,'[1]Loadings resolved - weighted M'!AD20,'[1]Loadings resolved - weighted M'!AI20,'[1]Loadings resolved - weighted M'!AN20,'[1]Loadings resolved - weighted M'!AS20,'[1]Loadings resolved - weighted M'!AX20,'[1]Loadings resolved - weighted M'!BC20,'[1]Loadings resolved - weighted M'!BM20,'[1]Loadings resolved - weighted M'!BR20,'[1]Loadings resolved - weighted M'!BH20,'[1]Loadings resolved - weighted M'!BW20)</f>
        <v>14</v>
      </c>
      <c r="AM5" s="179">
        <f t="shared" ref="AM5:AM16" si="4">AJ5/((AL5-1)*AK5/AL5)</f>
        <v>4.7159168704728645E-3</v>
      </c>
      <c r="AN5" s="179">
        <f t="shared" ref="AN5:AN16" si="5">SQRT(AM5)</f>
        <v>6.8672533595847948E-2</v>
      </c>
      <c r="AO5" s="179">
        <f t="shared" ref="AO5:AO16" si="6">AN5/AL5</f>
        <v>4.9051809711319963E-3</v>
      </c>
      <c r="AP5" s="177">
        <f t="shared" ref="AP5:AP16" si="7">D5</f>
        <v>0.68117543859649121</v>
      </c>
      <c r="AQ5" s="177">
        <f t="shared" si="1"/>
        <v>0.67156128389307246</v>
      </c>
      <c r="AR5" s="177">
        <f t="shared" si="2"/>
        <v>0.69078959329990997</v>
      </c>
      <c r="AS5" s="177">
        <f t="shared" ref="AS5:AS16" si="8">(AR5-AQ5)/2</f>
        <v>9.6141547034187536E-3</v>
      </c>
      <c r="AT5" s="100"/>
      <c r="AU5" s="186">
        <f>SUM('[1]Loadings resolved - weighted M'!H35,'[1]Loadings resolved - weighted M'!M35,'[1]Loadings resolved - weighted M'!R35,'[1]Loadings resolved - weighted M'!W35,'[1]Loadings resolved - weighted M'!AB35,'[1]Loadings resolved - weighted M'!AG35,'[1]Loadings resolved - weighted M'!AL35,'[1]Loadings resolved - weighted M'!AV35,'[1]Loadings resolved - weighted M'!BA35,'[1]Loadings resolved - weighted M'!BK35,'[1]Loadings resolved - weighted M'!BP35,'[1]Loadings resolved - weighted M'!BU35)</f>
        <v>618.0534694827362</v>
      </c>
      <c r="AV5" s="187">
        <f>SUM('[1]Loadings resolved - weighted M'!J5,'[1]Loadings resolved - weighted M'!O5,'[1]Loadings resolved - weighted M'!T5,'[1]Loadings resolved - weighted M'!Y5,'[1]Loadings resolved - weighted M'!AD5,'[1]Loadings resolved - weighted M'!AI5,'[1]Loadings resolved - weighted M'!AN5,'[1]Loadings resolved - weighted M'!AX5,'[1]Loadings resolved - weighted M'!BC5,'[1]Loadings resolved - weighted M'!BH5,'[1]Loadings resolved - weighted M'!BM5,'[1]Loadings resolved - weighted M'!BR5,'[1]Loadings resolved - weighted M'!BW5)</f>
        <v>6202</v>
      </c>
      <c r="AW5" s="187">
        <f>COUNT('[1]Loadings resolved - weighted M'!H20,'[1]Loadings resolved - weighted M'!M20,'[1]Loadings resolved - weighted M'!R20,'[1]Loadings resolved - weighted M'!W20,'[1]Loadings resolved - weighted M'!AB20,'[1]Loadings resolved - weighted M'!AG20,'[1]Loadings resolved - weighted M'!AL20,'[1]Loadings resolved - weighted M'!AV20,'[1]Loadings resolved - weighted M'!BA20,'[1]Loadings resolved - weighted M'!BF20,'[1]Loadings resolved - weighted M'!BK20,'[1]Loadings resolved - weighted M'!BP20,'[1]Loadings resolved - weighted M'!BU20)</f>
        <v>13</v>
      </c>
      <c r="AX5" s="178">
        <f t="shared" ref="AX5:AX10" si="9">AU5/((AW5-1)*AV5/AW5)</f>
        <v>0.10795838846710161</v>
      </c>
      <c r="AY5" s="178">
        <f t="shared" ref="AY5:AY10" si="10">SQRT(AX5)</f>
        <v>0.32857021847255363</v>
      </c>
      <c r="AZ5" s="178">
        <f t="shared" ref="AZ5:AZ10" si="11">AY5/AW5</f>
        <v>2.5274632190196433E-2</v>
      </c>
      <c r="BA5" s="178">
        <f t="shared" ref="BA5:BA10" si="12">E5</f>
        <v>0.11396033537568527</v>
      </c>
      <c r="BB5" s="178">
        <f t="shared" ref="BB5:BB10" si="13">BA5-(1.96*AZ5)</f>
        <v>6.4422056282900264E-2</v>
      </c>
      <c r="BC5" s="178">
        <f t="shared" ref="BC5:BC10" si="14">BA5+(1.96*AZ5)</f>
        <v>0.16349861446847028</v>
      </c>
      <c r="BD5" s="178">
        <f t="shared" ref="BD5:BD10" si="15">(BC5-BB5)/2</f>
        <v>4.9538279092785006E-2</v>
      </c>
      <c r="BE5" s="100"/>
      <c r="BF5" s="188">
        <f t="shared" ref="BF5:BF8" si="16">BF13</f>
        <v>162.13381606958075</v>
      </c>
      <c r="BG5" s="189">
        <f>SUM('[1]Loadings resolved - weighted M'!J28,'[1]Loadings resolved - weighted M'!O28,'[1]Loadings resolved - weighted M'!T28,'[1]Loadings resolved - weighted M'!Y28,'[1]Loadings resolved - weighted M'!AD28,'[1]Loadings resolved - weighted M'!AI28,'[1]Loadings resolved - weighted M'!AN28,'[1]Loadings resolved - weighted M'!AS28,'[1]Loadings resolved - weighted M'!AX28,'[1]Loadings resolved - weighted M'!BC28,'[1]Loadings resolved - weighted M'!BH28,'[1]Loadings resolved - weighted M'!BM28,'[1]Loadings resolved - weighted M'!BR28,'[1]Loadings resolved - weighted M'!BW28)</f>
        <v>6726</v>
      </c>
      <c r="BH5" s="189">
        <f>COUNT('[1]Loadings resolved - weighted M'!I28,'[1]Loadings resolved - weighted M'!N28,'[1]Loadings resolved - weighted M'!S28,'[1]Loadings resolved - weighted M'!X28,'[1]Loadings resolved - weighted M'!AC28,'[1]Loadings resolved - weighted M'!AH28,'[1]Loadings resolved - weighted M'!AM28,'[1]Loadings resolved - weighted M'!AR28,'[1]Loadings resolved - weighted M'!AW28,'[1]Loadings resolved - weighted M'!BB28,'[1]Loadings resolved - weighted M'!BG28,'[1]Loadings resolved - weighted M'!BL28,'[1]Loadings resolved - weighted M'!BQ28,'[1]Loadings resolved - weighted M'!BV28)</f>
        <v>14</v>
      </c>
      <c r="BI5" s="181">
        <f t="shared" ref="BI5:BI8" si="17">BF5/((BH5-1)*BG5/BH5)</f>
        <v>2.59598049472098E-2</v>
      </c>
      <c r="BJ5" s="181">
        <f t="shared" ref="BJ5:BJ7" si="18">SQRT(BI5)</f>
        <v>0.16112046718902537</v>
      </c>
      <c r="BK5" s="181">
        <f t="shared" ref="BK5:BK8" si="19">BJ5/BH5</f>
        <v>1.1508604799216098E-2</v>
      </c>
      <c r="BL5" s="181">
        <f t="shared" ref="BL5:BL8" si="20">F13</f>
        <v>0.4998599464763604</v>
      </c>
      <c r="BM5" s="181">
        <f t="shared" ref="BM5:BM8" si="21">BL5-(1.96*BK5)</f>
        <v>0.47730308106989683</v>
      </c>
      <c r="BN5" s="181">
        <f t="shared" ref="BN5:BN8" si="22">BL5+(1.96*BK5)</f>
        <v>0.52241681188282396</v>
      </c>
      <c r="BO5" s="181">
        <f t="shared" ref="BO5:BO8" si="23">(BN5-BM5)/2</f>
        <v>2.2556865406463567E-2</v>
      </c>
    </row>
    <row r="6" spans="1:68">
      <c r="A6" s="171">
        <v>3</v>
      </c>
      <c r="B6" s="171" t="s">
        <v>234</v>
      </c>
      <c r="C6" s="171"/>
      <c r="D6" s="172">
        <f>SUM('[1]Loadings resolved - weighted M'!G6*'[1]Loadings resolved - weighted M'!J6,'[1]Loadings resolved - weighted M'!L6*'[1]Loadings resolved - weighted M'!O6,'[1]Loadings resolved - weighted M'!Q6*'[1]Loadings resolved - weighted M'!T6,'[1]Loadings resolved - weighted M'!V6*'[1]Loadings resolved - weighted M'!Y6,'[1]Loadings resolved - weighted M'!AA6*'[1]Loadings resolved - weighted M'!AD6,'[1]Loadings resolved - weighted M'!AF6*'[1]Loadings resolved - weighted M'!AI6,'[1]Loadings resolved - weighted M'!AK6*'[1]Loadings resolved - weighted M'!AN6,'[1]Loadings resolved - weighted M'!AP6*'[1]Loadings resolved - weighted M'!AS6,'[1]Loadings resolved - weighted M'!AU6*'[1]Loadings resolved - weighted M'!AX6,'[1]Loadings resolved - weighted M'!AZ6*'[1]Loadings resolved - weighted M'!BC6,'[1]Loadings resolved - weighted M'!BE6*'[1]Loadings resolved - weighted M'!BH6,'[1]Loadings resolved - weighted M'!BJ6*'[1]Loadings resolved - weighted M'!BM6,'[1]Loadings resolved - weighted M'!BO6*'[1]Loadings resolved - weighted M'!BR6,'[1]Loadings resolved - weighted M'!BT6*'[1]Loadings resolved - weighted M'!BW6)/G6</f>
        <v>0.50042521558132624</v>
      </c>
      <c r="E6" s="173">
        <f>SUM('[1]Loadings resolved - weighted M'!H6*'[1]Loadings resolved - weighted M'!J6,'[1]Loadings resolved - weighted M'!M6*'[1]Loadings resolved - weighted M'!O6,'[1]Loadings resolved - weighted M'!R6*'[1]Loadings resolved - weighted M'!T6,'[1]Loadings resolved - weighted M'!W6*'[1]Loadings resolved - weighted M'!Y6,'[1]Loadings resolved - weighted M'!AB6*'[1]Loadings resolved - weighted M'!AD6,'[1]Loadings resolved - weighted M'!AG6*'[1]Loadings resolved - weighted M'!AI6,'[1]Loadings resolved - weighted M'!AL6*'[1]Loadings resolved - weighted M'!AN6,'[1]Loadings resolved - weighted M'!AV6*'[1]Loadings resolved - weighted M'!AX6,'[1]Loadings resolved - weighted M'!BA6*'[1]Loadings resolved - weighted M'!BC6,'[1]Loadings resolved - weighted M'!BF6*'[1]Loadings resolved - weighted M'!BH6,'[1]Loadings resolved - weighted M'!BK6*'[1]Loadings resolved - weighted M'!BM6,'[1]Loadings resolved - weighted M'!BP6*'[1]Loadings resolved - weighted M'!BR6,'[1]Loadings resolved - weighted M'!BU6*'[1]Loadings resolved - weighted M'!BW6)/'Weighted means, CIs, summary'!H6</f>
        <v>0.27861980006449538</v>
      </c>
      <c r="F6" s="174"/>
      <c r="G6" s="175">
        <f>G4</f>
        <v>6726</v>
      </c>
      <c r="H6" s="175">
        <f t="shared" ref="H6:H10" si="24">H4</f>
        <v>6202</v>
      </c>
      <c r="L6" s="177">
        <f>MIN('[1]Loadings resolved - weighted M'!G6,'[1]Loadings resolved - weighted M'!L6,'[1]Loadings resolved - weighted M'!Q6,'[1]Loadings resolved - weighted M'!V6,'[1]Loadings resolved - weighted M'!AA6,'[1]Loadings resolved - weighted M'!AF6,'[1]Loadings resolved - weighted M'!AK6,'[1]Loadings resolved - weighted M'!AP6,'[1]Loadings resolved - weighted M'!AU6,'[1]Loadings resolved - weighted M'!AZ6,'[1]Loadings resolved - weighted M'!BE6,'[1]Loadings resolved - weighted M'!BJ6,'[1]Loadings resolved - weighted M'!BO6,'[1]Loadings resolved - weighted M'!BT6)</f>
        <v>0.12</v>
      </c>
      <c r="M6" s="178">
        <f>MIN('[1]Loadings resolved - weighted M'!H6,'[1]Loadings resolved - weighted M'!M6,'[1]Loadings resolved - weighted M'!R6,'[1]Loadings resolved - weighted M'!W6,'[1]Loadings resolved - weighted M'!AB6,'[1]Loadings resolved - weighted M'!AG6,'[1]Loadings resolved - weighted M'!AL6,'[1]Loadings resolved - weighted M'!AV6,'[1]Loadings resolved - weighted M'!BA6,'[1]Loadings resolved - weighted M'!BF6,'[1]Loadings resolved - weighted M'!BK6,'[1]Loadings resolved - weighted M'!BP6,'[1]Loadings resolved - weighted M'!BU6)</f>
        <v>0.05</v>
      </c>
      <c r="N6" s="100"/>
      <c r="Q6" s="177">
        <f>MAX('[1]Loadings resolved - weighted M'!G6,'[1]Loadings resolved - weighted M'!L6,'[1]Loadings resolved - weighted M'!Q6,'[1]Loadings resolved - weighted M'!V6,'[1]Loadings resolved - weighted M'!AA6,'[1]Loadings resolved - weighted M'!AF6,'[1]Loadings resolved - weighted M'!AK6,'[1]Loadings resolved - weighted M'!AP6,'[1]Loadings resolved - weighted M'!AU6,'[1]Loadings resolved - weighted M'!AZ6,'[1]Loadings resolved - weighted M'!BE6,'[1]Loadings resolved - weighted M'!BJ6,'[1]Loadings resolved - weighted M'!BO6,'[1]Loadings resolved - weighted M'!BT6)</f>
        <v>0.76</v>
      </c>
      <c r="R6" s="178">
        <f>MAX('[1]Loadings resolved - weighted M'!H6,'[1]Loadings resolved - weighted M'!M6,'[1]Loadings resolved - weighted M'!R6,'[1]Loadings resolved - weighted M'!W6,'[1]Loadings resolved - weighted M'!AB6,'[1]Loadings resolved - weighted M'!AG6,'[1]Loadings resolved - weighted M'!AL6,'[1]Loadings resolved - weighted M'!AV6,'[1]Loadings resolved - weighted M'!BA6,'[1]Loadings resolved - weighted M'!BF6,'[1]Loadings resolved - weighted M'!BK6,'[1]Loadings resolved - weighted M'!BP6,'[1]Loadings resolved - weighted M'!BU6)</f>
        <v>0.67</v>
      </c>
      <c r="U6" s="177">
        <f t="shared" si="3"/>
        <v>0.64</v>
      </c>
      <c r="V6" s="178">
        <f t="shared" si="3"/>
        <v>0.62</v>
      </c>
      <c r="Z6" s="183">
        <f>MEDIAN('[1]Loadings resolved - weighted M'!G6,'[1]Loadings resolved - weighted M'!L6,'[1]Loadings resolved - weighted M'!Q6,'[1]Loadings resolved - weighted M'!V6,'[1]Loadings resolved - weighted M'!AA6,'[1]Loadings resolved - weighted M'!AF6,'[1]Loadings resolved - weighted M'!AK6,'[1]Loadings resolved - weighted M'!AP6,'[1]Loadings resolved - weighted M'!AU6,'[1]Loadings resolved - weighted M'!AZ6,'[1]Loadings resolved - weighted M'!BE6,'[1]Loadings resolved - weighted M'!BJ6,'[1]Loadings resolved - weighted M'!BO6,'[1]Loadings resolved - weighted M'!BT6)</f>
        <v>0.58499999999999996</v>
      </c>
      <c r="AA6" s="178">
        <f>MEDIAN('[1]Loadings resolved - weighted M'!H6,'[1]Loadings resolved - weighted M'!M6,'[1]Loadings resolved - weighted M'!R6,'[1]Loadings resolved - weighted M'!W6,'[1]Loadings resolved - weighted M'!AB6,'[1]Loadings resolved - weighted M'!AG6,'[1]Loadings resolved - weighted M'!AL6,'[1]Loadings resolved - weighted M'!AV6,'[1]Loadings resolved - weighted M'!BA6,'[1]Loadings resolved - weighted M'!BF6,'[1]Loadings resolved - weighted M'!BK6,'[1]Loadings resolved - weighted M'!BP6,'[1]Loadings resolved - weighted M'!BU6)</f>
        <v>0.28000000000000003</v>
      </c>
      <c r="AE6" s="177">
        <f t="shared" si="0"/>
        <v>-8.4574784418673721E-2</v>
      </c>
      <c r="AF6" s="178">
        <f t="shared" si="0"/>
        <v>-1.3801999355046446E-3</v>
      </c>
      <c r="AG6" s="100"/>
      <c r="AJ6" s="184">
        <f>SUM('[1]Loadings resolved - weighted M'!G36,'[1]Loadings resolved - weighted M'!J36,'[1]Loadings resolved - weighted M'!Q36,'[1]Loadings resolved - weighted M'!V36,'[1]Loadings resolved - weighted M'!AA36,'[1]Loadings resolved - weighted M'!AF36,'[1]Loadings resolved - weighted M'!AK36,'[1]Loadings resolved - weighted M'!AP36,'[1]Loadings resolved - weighted M'!AU36,'[1]Loadings resolved - weighted M'!AZ36,'[1]Loadings resolved - weighted M'!BE36,'[1]Loadings resolved - weighted M'!BJ36,'[1]Loadings resolved - weighted M'!BO36,'[1]Loadings resolved - weighted M'!BT36)</f>
        <v>331.09684356151308</v>
      </c>
      <c r="AK6" s="185">
        <f>SUM('[1]Loadings resolved - weighted M'!J6,'[1]Loadings resolved - weighted M'!O6,'[1]Loadings resolved - weighted M'!T6,'[1]Loadings resolved - weighted M'!Y6,'[1]Loadings resolved - weighted M'!AD6,'[1]Loadings resolved - weighted M'!AI6,'[1]Loadings resolved - weighted M'!AN6,'[1]Loadings resolved - weighted M'!AS6,'[1]Loadings resolved - weighted M'!AX6,'[1]Loadings resolved - weighted M'!BC6,'[1]Loadings resolved - weighted M'!BH6,'[1]Loadings resolved - weighted M'!BM6,'[1]Loadings resolved - weighted M'!BR6,'[1]Loadings resolved - weighted M'!BW6)</f>
        <v>6726</v>
      </c>
      <c r="AL6" s="185">
        <f>COUNT('[1]Loadings resolved - weighted M'!J21,'[1]Loadings resolved - weighted M'!O21,'[1]Loadings resolved - weighted M'!T21,'[1]Loadings resolved - weighted M'!Y21,'[1]Loadings resolved - weighted M'!AD21,'[1]Loadings resolved - weighted M'!AI21,'[1]Loadings resolved - weighted M'!AN21,'[1]Loadings resolved - weighted M'!AS21,'[1]Loadings resolved - weighted M'!AX21,'[1]Loadings resolved - weighted M'!BC21,'[1]Loadings resolved - weighted M'!BM21,'[1]Loadings resolved - weighted M'!BR21,'[1]Loadings resolved - weighted M'!BH21,'[1]Loadings resolved - weighted M'!BW21)</f>
        <v>14</v>
      </c>
      <c r="AM6" s="179">
        <f t="shared" si="4"/>
        <v>5.3013058508442359E-2</v>
      </c>
      <c r="AN6" s="179">
        <f t="shared" si="5"/>
        <v>0.23024564818567658</v>
      </c>
      <c r="AO6" s="179">
        <f t="shared" si="6"/>
        <v>1.6446117727548327E-2</v>
      </c>
      <c r="AP6" s="177">
        <f t="shared" si="7"/>
        <v>0.50042521558132624</v>
      </c>
      <c r="AQ6" s="177">
        <f t="shared" si="1"/>
        <v>0.46819082483533153</v>
      </c>
      <c r="AR6" s="177">
        <f t="shared" si="2"/>
        <v>0.53265960632732101</v>
      </c>
      <c r="AS6" s="177">
        <f t="shared" si="8"/>
        <v>3.223439074599474E-2</v>
      </c>
      <c r="AT6" s="100"/>
      <c r="AU6" s="186">
        <f>SUM('[1]Loadings resolved - weighted M'!H36,'[1]Loadings resolved - weighted M'!M36,'[1]Loadings resolved - weighted M'!R36,'[1]Loadings resolved - weighted M'!W36,'[1]Loadings resolved - weighted M'!AB36,'[1]Loadings resolved - weighted M'!AG36,'[1]Loadings resolved - weighted M'!AL36,'[1]Loadings resolved - weighted M'!AV36,'[1]Loadings resolved - weighted M'!BA36,'[1]Loadings resolved - weighted M'!BK36,'[1]Loadings resolved - weighted M'!BP36,'[1]Loadings resolved - weighted M'!BU36)</f>
        <v>214.84020629296333</v>
      </c>
      <c r="AV6" s="187">
        <f>SUM('[1]Loadings resolved - weighted M'!J6,'[1]Loadings resolved - weighted M'!O6,'[1]Loadings resolved - weighted M'!T6,'[1]Loadings resolved - weighted M'!Y6,'[1]Loadings resolved - weighted M'!AD6,'[1]Loadings resolved - weighted M'!AI6,'[1]Loadings resolved - weighted M'!AN6,'[1]Loadings resolved - weighted M'!AX6,'[1]Loadings resolved - weighted M'!BC6,'[1]Loadings resolved - weighted M'!BH6,'[1]Loadings resolved - weighted M'!BM6,'[1]Loadings resolved - weighted M'!BR6,'[1]Loadings resolved - weighted M'!BW6)</f>
        <v>6202</v>
      </c>
      <c r="AW6" s="187">
        <f>COUNT('[1]Loadings resolved - weighted M'!H21,'[1]Loadings resolved - weighted M'!M21,'[1]Loadings resolved - weighted M'!R21,'[1]Loadings resolved - weighted M'!W21,'[1]Loadings resolved - weighted M'!AB21,'[1]Loadings resolved - weighted M'!AG21,'[1]Loadings resolved - weighted M'!AL21,'[1]Loadings resolved - weighted M'!AV21,'[1]Loadings resolved - weighted M'!BA21,'[1]Loadings resolved - weighted M'!BF21,'[1]Loadings resolved - weighted M'!BK21,'[1]Loadings resolved - weighted M'!BP21,'[1]Loadings resolved - weighted M'!BU21)</f>
        <v>13</v>
      </c>
      <c r="AX6" s="178">
        <f t="shared" si="9"/>
        <v>3.7527177816410344E-2</v>
      </c>
      <c r="AY6" s="178">
        <f t="shared" si="10"/>
        <v>0.19371932742091158</v>
      </c>
      <c r="AZ6" s="178">
        <f t="shared" si="11"/>
        <v>1.4901486724685506E-2</v>
      </c>
      <c r="BA6" s="178">
        <f t="shared" si="12"/>
        <v>0.27861980006449538</v>
      </c>
      <c r="BB6" s="178">
        <f t="shared" si="13"/>
        <v>0.2494128860841118</v>
      </c>
      <c r="BC6" s="178">
        <f t="shared" si="14"/>
        <v>0.30782671404487899</v>
      </c>
      <c r="BD6" s="178">
        <f t="shared" si="15"/>
        <v>2.9206913980383595E-2</v>
      </c>
      <c r="BE6" s="100"/>
      <c r="BF6" s="188">
        <f t="shared" si="16"/>
        <v>84.093678855783551</v>
      </c>
      <c r="BG6" s="189">
        <f>SUM('[1]Loadings resolved - weighted M'!J29,'[1]Loadings resolved - weighted M'!O29,'[1]Loadings resolved - weighted M'!T29,'[1]Loadings resolved - weighted M'!Y29,'[1]Loadings resolved - weighted M'!AD29,'[1]Loadings resolved - weighted M'!AI29,'[1]Loadings resolved - weighted M'!AN29,'[1]Loadings resolved - weighted M'!AS29,'[1]Loadings resolved - weighted M'!AX29,'[1]Loadings resolved - weighted M'!BC29,'[1]Loadings resolved - weighted M'!BH29,'[1]Loadings resolved - weighted M'!BM29,'[1]Loadings resolved - weighted M'!BR29,'[1]Loadings resolved - weighted M'!BW29)</f>
        <v>6726</v>
      </c>
      <c r="BH6" s="189">
        <f>COUNT('[1]Loadings resolved - weighted M'!I29,'[1]Loadings resolved - weighted M'!N29,'[1]Loadings resolved - weighted M'!S29,'[1]Loadings resolved - weighted M'!X29,'[1]Loadings resolved - weighted M'!AC29,'[1]Loadings resolved - weighted M'!AH29,'[1]Loadings resolved - weighted M'!AM29,'[1]Loadings resolved - weighted M'!AR29,'[1]Loadings resolved - weighted M'!AW29,'[1]Loadings resolved - weighted M'!BB29,'[1]Loadings resolved - weighted M'!BG29,'[1]Loadings resolved - weighted M'!BL29,'[1]Loadings resolved - weighted M'!BQ29,'[1]Loadings resolved - weighted M'!BV29)</f>
        <v>14</v>
      </c>
      <c r="BI6" s="181">
        <f t="shared" si="17"/>
        <v>1.3464529197613963E-2</v>
      </c>
      <c r="BJ6" s="181">
        <f t="shared" si="18"/>
        <v>0.11603675795890699</v>
      </c>
      <c r="BK6" s="181">
        <f t="shared" si="19"/>
        <v>8.2883398542076426E-3</v>
      </c>
      <c r="BL6" s="181">
        <f t="shared" si="20"/>
        <v>0.43003687184061845</v>
      </c>
      <c r="BM6" s="181">
        <f t="shared" si="21"/>
        <v>0.41379172572637146</v>
      </c>
      <c r="BN6" s="181">
        <f t="shared" si="22"/>
        <v>0.44628201795486544</v>
      </c>
      <c r="BO6" s="181">
        <f t="shared" si="23"/>
        <v>1.6245146114246989E-2</v>
      </c>
    </row>
    <row r="7" spans="1:68">
      <c r="A7" s="171">
        <v>4</v>
      </c>
      <c r="B7" s="190" t="s">
        <v>235</v>
      </c>
      <c r="C7" s="190"/>
      <c r="D7" s="172">
        <f>SUM('[1]Loadings resolved - weighted M'!G7*'[1]Loadings resolved - weighted M'!J7,'[1]Loadings resolved - weighted M'!L7*'[1]Loadings resolved - weighted M'!O7,'[1]Loadings resolved - weighted M'!Q7*'[1]Loadings resolved - weighted M'!T7,'[1]Loadings resolved - weighted M'!V7*'[1]Loadings resolved - weighted M'!Y7,'[1]Loadings resolved - weighted M'!AA7*'[1]Loadings resolved - weighted M'!AD7,'[1]Loadings resolved - weighted M'!AF7*'[1]Loadings resolved - weighted M'!AI7,'[1]Loadings resolved - weighted M'!AK7*'[1]Loadings resolved - weighted M'!AN7,'[1]Loadings resolved - weighted M'!AP7*'[1]Loadings resolved - weighted M'!AS7,'[1]Loadings resolved - weighted M'!AU7*'[1]Loadings resolved - weighted M'!AX7,'[1]Loadings resolved - weighted M'!AZ7*'[1]Loadings resolved - weighted M'!BC7,'[1]Loadings resolved - weighted M'!BE7*'[1]Loadings resolved - weighted M'!BH7,'[1]Loadings resolved - weighted M'!BJ7*'[1]Loadings resolved - weighted M'!BM7,'[1]Loadings resolved - weighted M'!BO7*'[1]Loadings resolved - weighted M'!BR7,'[1]Loadings resolved - weighted M'!BT7*'[1]Loadings resolved - weighted M'!BW7)/G7</f>
        <v>0.61959976211715728</v>
      </c>
      <c r="E7" s="173">
        <f>SUM('[1]Loadings resolved - weighted M'!H7*'[1]Loadings resolved - weighted M'!J7,'[1]Loadings resolved - weighted M'!M7*'[1]Loadings resolved - weighted M'!O7,'[1]Loadings resolved - weighted M'!R7*'[1]Loadings resolved - weighted M'!T7,'[1]Loadings resolved - weighted M'!W7*'[1]Loadings resolved - weighted M'!Y7,'[1]Loadings resolved - weighted M'!AB7*'[1]Loadings resolved - weighted M'!AD7,'[1]Loadings resolved - weighted M'!AG7*'[1]Loadings resolved - weighted M'!AI7,'[1]Loadings resolved - weighted M'!AL7*'[1]Loadings resolved - weighted M'!AN7,'[1]Loadings resolved - weighted M'!AV7*'[1]Loadings resolved - weighted M'!AX7,'[1]Loadings resolved - weighted M'!BA7*'[1]Loadings resolved - weighted M'!BC7,'[1]Loadings resolved - weighted M'!BF7*'[1]Loadings resolved - weighted M'!BH7,'[1]Loadings resolved - weighted M'!BK7*'[1]Loadings resolved - weighted M'!BM7,'[1]Loadings resolved - weighted M'!BP7*'[1]Loadings resolved - weighted M'!BR7,'[1]Loadings resolved - weighted M'!BU7*'[1]Loadings resolved - weighted M'!BW7)/'Weighted means, CIs, summary'!H7</f>
        <v>7.4180264430828771E-2</v>
      </c>
      <c r="F7" s="174"/>
      <c r="G7" s="175">
        <f>G5</f>
        <v>6726</v>
      </c>
      <c r="H7" s="175">
        <f t="shared" si="24"/>
        <v>6202</v>
      </c>
      <c r="L7" s="177">
        <f>MIN('[1]Loadings resolved - weighted M'!G7,'[1]Loadings resolved - weighted M'!L7,'[1]Loadings resolved - weighted M'!Q7,'[1]Loadings resolved - weighted M'!V7,'[1]Loadings resolved - weighted M'!AA7,'[1]Loadings resolved - weighted M'!AF7,'[1]Loadings resolved - weighted M'!AK7,'[1]Loadings resolved - weighted M'!AP7,'[1]Loadings resolved - weighted M'!AU7,'[1]Loadings resolved - weighted M'!AZ7,'[1]Loadings resolved - weighted M'!BE7,'[1]Loadings resolved - weighted M'!BJ7,'[1]Loadings resolved - weighted M'!BO7,'[1]Loadings resolved - weighted M'!BT7)</f>
        <v>0.36</v>
      </c>
      <c r="M7" s="178">
        <f>MIN('[1]Loadings resolved - weighted M'!H7,'[1]Loadings resolved - weighted M'!M7,'[1]Loadings resolved - weighted M'!R7,'[1]Loadings resolved - weighted M'!W7,'[1]Loadings resolved - weighted M'!AB7,'[1]Loadings resolved - weighted M'!AG7,'[1]Loadings resolved - weighted M'!AL7,'[1]Loadings resolved - weighted M'!AV7,'[1]Loadings resolved - weighted M'!BA7,'[1]Loadings resolved - weighted M'!BF7,'[1]Loadings resolved - weighted M'!BK7,'[1]Loadings resolved - weighted M'!BP7,'[1]Loadings resolved - weighted M'!BU7)</f>
        <v>-0.12</v>
      </c>
      <c r="N7" s="100"/>
      <c r="Q7" s="177">
        <f>MAX('[1]Loadings resolved - weighted M'!G7,'[1]Loadings resolved - weighted M'!L7,'[1]Loadings resolved - weighted M'!Q7,'[1]Loadings resolved - weighted M'!V7,'[1]Loadings resolved - weighted M'!AA7,'[1]Loadings resolved - weighted M'!AF7,'[1]Loadings resolved - weighted M'!AK7,'[1]Loadings resolved - weighted M'!AP7,'[1]Loadings resolved - weighted M'!AU7,'[1]Loadings resolved - weighted M'!AZ7,'[1]Loadings resolved - weighted M'!BE7,'[1]Loadings resolved - weighted M'!BJ7,'[1]Loadings resolved - weighted M'!BO7,'[1]Loadings resolved - weighted M'!BT7)</f>
        <v>0.83</v>
      </c>
      <c r="R7" s="178">
        <f>MAX('[1]Loadings resolved - weighted M'!H7,'[1]Loadings resolved - weighted M'!M7,'[1]Loadings resolved - weighted M'!R7,'[1]Loadings resolved - weighted M'!W7,'[1]Loadings resolved - weighted M'!AB7,'[1]Loadings resolved - weighted M'!AG7,'[1]Loadings resolved - weighted M'!AL7,'[1]Loadings resolved - weighted M'!AV7,'[1]Loadings resolved - weighted M'!BA7,'[1]Loadings resolved - weighted M'!BF7,'[1]Loadings resolved - weighted M'!BK7,'[1]Loadings resolved - weighted M'!BP7,'[1]Loadings resolved - weighted M'!BU7)</f>
        <v>0.28000000000000003</v>
      </c>
      <c r="U7" s="177">
        <f t="shared" si="3"/>
        <v>0.47</v>
      </c>
      <c r="V7" s="178">
        <f t="shared" si="3"/>
        <v>0.4</v>
      </c>
      <c r="Z7" s="183">
        <f>MEDIAN('[1]Loadings resolved - weighted M'!G7,'[1]Loadings resolved - weighted M'!L7,'[1]Loadings resolved - weighted M'!Q7,'[1]Loadings resolved - weighted M'!V7,'[1]Loadings resolved - weighted M'!AA7,'[1]Loadings resolved - weighted M'!AF7,'[1]Loadings resolved - weighted M'!AK7,'[1]Loadings resolved - weighted M'!AP7,'[1]Loadings resolved - weighted M'!AU7,'[1]Loadings resolved - weighted M'!AZ7,'[1]Loadings resolved - weighted M'!BE7,'[1]Loadings resolved - weighted M'!BJ7,'[1]Loadings resolved - weighted M'!BO7,'[1]Loadings resolved - weighted M'!BT7)</f>
        <v>0.69499999999999995</v>
      </c>
      <c r="AA7" s="178">
        <f>MEDIAN('[1]Loadings resolved - weighted M'!H7,'[1]Loadings resolved - weighted M'!M7,'[1]Loadings resolved - weighted M'!R7,'[1]Loadings resolved - weighted M'!W7,'[1]Loadings resolved - weighted M'!AB7,'[1]Loadings resolved - weighted M'!AG7,'[1]Loadings resolved - weighted M'!AL7,'[1]Loadings resolved - weighted M'!AV7,'[1]Loadings resolved - weighted M'!BA7,'[1]Loadings resolved - weighted M'!BF7,'[1]Loadings resolved - weighted M'!BK7,'[1]Loadings resolved - weighted M'!BP7,'[1]Loadings resolved - weighted M'!BU7)</f>
        <v>0.06</v>
      </c>
      <c r="AE7" s="177">
        <f t="shared" si="0"/>
        <v>-7.5400237882842669E-2</v>
      </c>
      <c r="AF7" s="178">
        <f t="shared" si="0"/>
        <v>1.4180264430828773E-2</v>
      </c>
      <c r="AG7" s="100"/>
      <c r="AJ7" s="184">
        <f>SUM('[1]Loadings resolved - weighted M'!G37,'[1]Loadings resolved - weighted M'!J37,'[1]Loadings resolved - weighted M'!Q37,'[1]Loadings resolved - weighted M'!V37,'[1]Loadings resolved - weighted M'!AA37,'[1]Loadings resolved - weighted M'!AF37,'[1]Loadings resolved - weighted M'!AK37,'[1]Loadings resolved - weighted M'!AP37,'[1]Loadings resolved - weighted M'!AU37,'[1]Loadings resolved - weighted M'!AZ37,'[1]Loadings resolved - weighted M'!BE37,'[1]Loadings resolved - weighted M'!BJ37,'[1]Loadings resolved - weighted M'!BO37,'[1]Loadings resolved - weighted M'!BT37)</f>
        <v>184.09623174696779</v>
      </c>
      <c r="AK7" s="185">
        <f>SUM('[1]Loadings resolved - weighted M'!J7,'[1]Loadings resolved - weighted M'!O7,'[1]Loadings resolved - weighted M'!T7,'[1]Loadings resolved - weighted M'!Y7,'[1]Loadings resolved - weighted M'!AD7,'[1]Loadings resolved - weighted M'!AI7,'[1]Loadings resolved - weighted M'!AN7,'[1]Loadings resolved - weighted M'!AS7,'[1]Loadings resolved - weighted M'!AX7,'[1]Loadings resolved - weighted M'!BC7,'[1]Loadings resolved - weighted M'!BH7,'[1]Loadings resolved - weighted M'!BM7,'[1]Loadings resolved - weighted M'!BR7,'[1]Loadings resolved - weighted M'!BW7)</f>
        <v>6726</v>
      </c>
      <c r="AL7" s="185">
        <f>COUNT('[1]Loadings resolved - weighted M'!J22,'[1]Loadings resolved - weighted M'!O22,'[1]Loadings resolved - weighted M'!T22,'[1]Loadings resolved - weighted M'!Y22,'[1]Loadings resolved - weighted M'!AD22,'[1]Loadings resolved - weighted M'!AI22,'[1]Loadings resolved - weighted M'!AN22,'[1]Loadings resolved - weighted M'!AS22,'[1]Loadings resolved - weighted M'!AX22,'[1]Loadings resolved - weighted M'!BC22,'[1]Loadings resolved - weighted M'!BM22,'[1]Loadings resolved - weighted M'!BR22,'[1]Loadings resolved - weighted M'!BH22,'[1]Loadings resolved - weighted M'!BW22)</f>
        <v>14</v>
      </c>
      <c r="AM7" s="179">
        <f t="shared" si="4"/>
        <v>2.9476283131562354E-2</v>
      </c>
      <c r="AN7" s="179">
        <f t="shared" si="5"/>
        <v>0.17168658401739595</v>
      </c>
      <c r="AO7" s="179">
        <f t="shared" si="6"/>
        <v>1.2263327429813996E-2</v>
      </c>
      <c r="AP7" s="177">
        <f t="shared" si="7"/>
        <v>0.61959976211715728</v>
      </c>
      <c r="AQ7" s="177">
        <f t="shared" si="1"/>
        <v>0.59556364035472187</v>
      </c>
      <c r="AR7" s="177">
        <f t="shared" si="2"/>
        <v>0.6436358838795927</v>
      </c>
      <c r="AS7" s="177">
        <f t="shared" si="8"/>
        <v>2.4036121762435414E-2</v>
      </c>
      <c r="AT7" s="100"/>
      <c r="AU7" s="186">
        <f>SUM('[1]Loadings resolved - weighted M'!H37,'[1]Loadings resolved - weighted M'!M37,'[1]Loadings resolved - weighted M'!R37,'[1]Loadings resolved - weighted M'!W37,'[1]Loadings resolved - weighted M'!AB37,'[1]Loadings resolved - weighted M'!AG37,'[1]Loadings resolved - weighted M'!AL37,'[1]Loadings resolved - weighted M'!AV37,'[1]Loadings resolved - weighted M'!BA37,'[1]Loadings resolved - weighted M'!BK37,'[1]Loadings resolved - weighted M'!BP37,'[1]Loadings resolved - weighted M'!BU37)</f>
        <v>138.85945090952146</v>
      </c>
      <c r="AV7" s="187">
        <f>SUM('[1]Loadings resolved - weighted M'!J7,'[1]Loadings resolved - weighted M'!O7,'[1]Loadings resolved - weighted M'!T7,'[1]Loadings resolved - weighted M'!Y7,'[1]Loadings resolved - weighted M'!AD7,'[1]Loadings resolved - weighted M'!AI7,'[1]Loadings resolved - weighted M'!AN7,'[1]Loadings resolved - weighted M'!AX7,'[1]Loadings resolved - weighted M'!BC7,'[1]Loadings resolved - weighted M'!BH7,'[1]Loadings resolved - weighted M'!BM7,'[1]Loadings resolved - weighted M'!BR7,'[1]Loadings resolved - weighted M'!BW7)</f>
        <v>6202</v>
      </c>
      <c r="AW7" s="187">
        <f>COUNT('[1]Loadings resolved - weighted M'!H22,'[1]Loadings resolved - weighted M'!M22,'[1]Loadings resolved - weighted M'!R22,'[1]Loadings resolved - weighted M'!W22,'[1]Loadings resolved - weighted M'!AB22,'[1]Loadings resolved - weighted M'!AG22,'[1]Loadings resolved - weighted M'!AL22,'[1]Loadings resolved - weighted M'!AV22,'[1]Loadings resolved - weighted M'!BA22,'[1]Loadings resolved - weighted M'!BF22,'[1]Loadings resolved - weighted M'!BK22,'[1]Loadings resolved - weighted M'!BP22,'[1]Loadings resolved - weighted M'!BU22)</f>
        <v>13</v>
      </c>
      <c r="AX7" s="178">
        <f t="shared" si="9"/>
        <v>2.4255251824999716E-2</v>
      </c>
      <c r="AY7" s="178">
        <f t="shared" si="10"/>
        <v>0.15574097670491127</v>
      </c>
      <c r="AZ7" s="178">
        <f t="shared" si="11"/>
        <v>1.198007513114702E-2</v>
      </c>
      <c r="BA7" s="178">
        <f t="shared" si="12"/>
        <v>7.4180264430828771E-2</v>
      </c>
      <c r="BB7" s="178">
        <f t="shared" si="13"/>
        <v>5.0699317173780609E-2</v>
      </c>
      <c r="BC7" s="178">
        <f t="shared" si="14"/>
        <v>9.7661211687876934E-2</v>
      </c>
      <c r="BD7" s="178">
        <f t="shared" si="15"/>
        <v>2.3480947257048163E-2</v>
      </c>
      <c r="BE7" s="100"/>
      <c r="BF7" s="188">
        <f t="shared" si="16"/>
        <v>91.752765566458493</v>
      </c>
      <c r="BG7" s="189">
        <f>SUM('[1]Loadings resolved - weighted M'!J30,'[1]Loadings resolved - weighted M'!O30,'[1]Loadings resolved - weighted M'!T30,'[1]Loadings resolved - weighted M'!Y30,'[1]Loadings resolved - weighted M'!AD30,'[1]Loadings resolved - weighted M'!AI30,'[1]Loadings resolved - weighted M'!AN30,'[1]Loadings resolved - weighted M'!AS30,'[1]Loadings resolved - weighted M'!AX30,'[1]Loadings resolved - weighted M'!BC30,'[1]Loadings resolved - weighted M'!BH30,'[1]Loadings resolved - weighted M'!BM30,'[1]Loadings resolved - weighted M'!BR30,'[1]Loadings resolved - weighted M'!BW30)</f>
        <v>6726</v>
      </c>
      <c r="BH7" s="189">
        <f>COUNT('[1]Loadings resolved - weighted M'!I30,'[1]Loadings resolved - weighted M'!N30,'[1]Loadings resolved - weighted M'!S30,'[1]Loadings resolved - weighted M'!X30,'[1]Loadings resolved - weighted M'!AC30,'[1]Loadings resolved - weighted M'!AH30,'[1]Loadings resolved - weighted M'!AM30,'[1]Loadings resolved - weighted M'!AR30,'[1]Loadings resolved - weighted M'!AW30,'[1]Loadings resolved - weighted M'!BB30,'[1]Loadings resolved - weighted M'!BG30,'[1]Loadings resolved - weighted M'!BL30,'[1]Loadings resolved - weighted M'!BQ30,'[1]Loadings resolved - weighted M'!BV30)</f>
        <v>14</v>
      </c>
      <c r="BI7" s="181">
        <f t="shared" si="17"/>
        <v>1.4690852008628043E-2</v>
      </c>
      <c r="BJ7" s="181">
        <f t="shared" si="18"/>
        <v>0.12120582497812571</v>
      </c>
      <c r="BK7" s="181">
        <f t="shared" si="19"/>
        <v>8.6575589270089792E-3</v>
      </c>
      <c r="BL7" s="181">
        <f t="shared" si="20"/>
        <v>0.39899197145405879</v>
      </c>
      <c r="BM7" s="181">
        <f t="shared" si="21"/>
        <v>0.38202315595712122</v>
      </c>
      <c r="BN7" s="181">
        <f t="shared" si="22"/>
        <v>0.41596078695099636</v>
      </c>
      <c r="BO7" s="181">
        <f t="shared" si="23"/>
        <v>1.6968815496937573E-2</v>
      </c>
    </row>
    <row r="8" spans="1:68">
      <c r="A8" s="171">
        <v>5</v>
      </c>
      <c r="B8" s="171" t="s">
        <v>236</v>
      </c>
      <c r="C8" s="171"/>
      <c r="D8" s="172">
        <f>SUM('[1]Loadings resolved - weighted M'!G8*'[1]Loadings resolved - weighted M'!J8,'[1]Loadings resolved - weighted M'!L8*'[1]Loadings resolved - weighted M'!O8,'[1]Loadings resolved - weighted M'!Q8*'[1]Loadings resolved - weighted M'!T8,'[1]Loadings resolved - weighted M'!V8*'[1]Loadings resolved - weighted M'!Y8,'[1]Loadings resolved - weighted M'!AA8*'[1]Loadings resolved - weighted M'!AD8,'[1]Loadings resolved - weighted M'!AF8*'[1]Loadings resolved - weighted M'!AI8,'[1]Loadings resolved - weighted M'!AK8*'[1]Loadings resolved - weighted M'!AN8,'[1]Loadings resolved - weighted M'!AP8*'[1]Loadings resolved - weighted M'!AS8,'[1]Loadings resolved - weighted M'!AU8*'[1]Loadings resolved - weighted M'!AX8,'[1]Loadings resolved - weighted M'!AZ8*'[1]Loadings resolved - weighted M'!BC8,'[1]Loadings resolved - weighted M'!BE8*'[1]Loadings resolved - weighted M'!BH8,'[1]Loadings resolved - weighted M'!BJ8*'[1]Loadings resolved - weighted M'!BM8,'[1]Loadings resolved - weighted M'!BO8*'[1]Loadings resolved - weighted M'!BR8,'[1]Loadings resolved - weighted M'!BT8*'[1]Loadings resolved - weighted M'!BW8)/G8</f>
        <v>0.63300416294974726</v>
      </c>
      <c r="E8" s="173">
        <f>SUM('[1]Loadings resolved - weighted M'!H8*'[1]Loadings resolved - weighted M'!J8,'[1]Loadings resolved - weighted M'!M8*'[1]Loadings resolved - weighted M'!O8,'[1]Loadings resolved - weighted M'!R8*'[1]Loadings resolved - weighted M'!T8,'[1]Loadings resolved - weighted M'!W8*'[1]Loadings resolved - weighted M'!Y8,'[1]Loadings resolved - weighted M'!AB8*'[1]Loadings resolved - weighted M'!AD8,'[1]Loadings resolved - weighted M'!AG8*'[1]Loadings resolved - weighted M'!AI8,'[1]Loadings resolved - weighted M'!AL8*'[1]Loadings resolved - weighted M'!AN8,'[1]Loadings resolved - weighted M'!AV8*'[1]Loadings resolved - weighted M'!AX8,'[1]Loadings resolved - weighted M'!BA8*'[1]Loadings resolved - weighted M'!BC8,'[1]Loadings resolved - weighted M'!BF8*'[1]Loadings resolved - weighted M'!BH8,'[1]Loadings resolved - weighted M'!BK8*'[1]Loadings resolved - weighted M'!BM8,'[1]Loadings resolved - weighted M'!BP8*'[1]Loadings resolved - weighted M'!BR8,'[1]Loadings resolved - weighted M'!BU8*'[1]Loadings resolved - weighted M'!BW8)/'Weighted means, CIs, summary'!H8</f>
        <v>0.23136988068365047</v>
      </c>
      <c r="F8" s="174"/>
      <c r="G8" s="175">
        <f>G6</f>
        <v>6726</v>
      </c>
      <c r="H8" s="175">
        <f t="shared" si="24"/>
        <v>6202</v>
      </c>
      <c r="L8" s="177">
        <f>MIN('[1]Loadings resolved - weighted M'!G8,'[1]Loadings resolved - weighted M'!L8,'[1]Loadings resolved - weighted M'!Q8,'[1]Loadings resolved - weighted M'!V8,'[1]Loadings resolved - weighted M'!AA8,'[1]Loadings resolved - weighted M'!AF8,'[1]Loadings resolved - weighted M'!AK8,'[1]Loadings resolved - weighted M'!AP8,'[1]Loadings resolved - weighted M'!AU8,'[1]Loadings resolved - weighted M'!AZ8,'[1]Loadings resolved - weighted M'!BE8,'[1]Loadings resolved - weighted M'!BJ8,'[1]Loadings resolved - weighted M'!BO8,'[1]Loadings resolved - weighted M'!BT8)</f>
        <v>0.35</v>
      </c>
      <c r="M8" s="178">
        <f>MIN('[1]Loadings resolved - weighted M'!H8,'[1]Loadings resolved - weighted M'!M8,'[1]Loadings resolved - weighted M'!R8,'[1]Loadings resolved - weighted M'!W8,'[1]Loadings resolved - weighted M'!AB8,'[1]Loadings resolved - weighted M'!AG8,'[1]Loadings resolved - weighted M'!AL8,'[1]Loadings resolved - weighted M'!AV8,'[1]Loadings resolved - weighted M'!BA8,'[1]Loadings resolved - weighted M'!BF8,'[1]Loadings resolved - weighted M'!BK8,'[1]Loadings resolved - weighted M'!BP8,'[1]Loadings resolved - weighted M'!BU8)</f>
        <v>-0.6</v>
      </c>
      <c r="N8" s="100"/>
      <c r="Q8" s="177">
        <f>MAX('[1]Loadings resolved - weighted M'!G8,'[1]Loadings resolved - weighted M'!L8,'[1]Loadings resolved - weighted M'!Q8,'[1]Loadings resolved - weighted M'!V8,'[1]Loadings resolved - weighted M'!AA8,'[1]Loadings resolved - weighted M'!AF8,'[1]Loadings resolved - weighted M'!AK8,'[1]Loadings resolved - weighted M'!AP8,'[1]Loadings resolved - weighted M'!AU8,'[1]Loadings resolved - weighted M'!AZ8,'[1]Loadings resolved - weighted M'!BE8,'[1]Loadings resolved - weighted M'!BJ8,'[1]Loadings resolved - weighted M'!BO8,'[1]Loadings resolved - weighted M'!BT8)</f>
        <v>0.76</v>
      </c>
      <c r="R8" s="178">
        <f>MAX('[1]Loadings resolved - weighted M'!H8,'[1]Loadings resolved - weighted M'!M8,'[1]Loadings resolved - weighted M'!R8,'[1]Loadings resolved - weighted M'!W8,'[1]Loadings resolved - weighted M'!AB8,'[1]Loadings resolved - weighted M'!AG8,'[1]Loadings resolved - weighted M'!AL8,'[1]Loadings resolved - weighted M'!AV8,'[1]Loadings resolved - weighted M'!BA8,'[1]Loadings resolved - weighted M'!BF8,'[1]Loadings resolved - weighted M'!BK8,'[1]Loadings resolved - weighted M'!BP8,'[1]Loadings resolved - weighted M'!BU8)</f>
        <v>0.48</v>
      </c>
      <c r="U8" s="177">
        <f t="shared" si="3"/>
        <v>0.41000000000000003</v>
      </c>
      <c r="V8" s="178">
        <f t="shared" si="3"/>
        <v>1.08</v>
      </c>
      <c r="Z8" s="183">
        <f>MEDIAN('[1]Loadings resolved - weighted M'!G8,'[1]Loadings resolved - weighted M'!L8,'[1]Loadings resolved - weighted M'!Q8,'[1]Loadings resolved - weighted M'!V8,'[1]Loadings resolved - weighted M'!AA8,'[1]Loadings resolved - weighted M'!AF8,'[1]Loadings resolved - weighted M'!AK8,'[1]Loadings resolved - weighted M'!AP8,'[1]Loadings resolved - weighted M'!AU8,'[1]Loadings resolved - weighted M'!AZ8,'[1]Loadings resolved - weighted M'!BE8,'[1]Loadings resolved - weighted M'!BJ8,'[1]Loadings resolved - weighted M'!BO8,'[1]Loadings resolved - weighted M'!BT8)</f>
        <v>0.68500000000000005</v>
      </c>
      <c r="AA8" s="178">
        <f>MEDIAN('[1]Loadings resolved - weighted M'!H8,'[1]Loadings resolved - weighted M'!M8,'[1]Loadings resolved - weighted M'!R8,'[1]Loadings resolved - weighted M'!W8,'[1]Loadings resolved - weighted M'!AB8,'[1]Loadings resolved - weighted M'!AG8,'[1]Loadings resolved - weighted M'!AL8,'[1]Loadings resolved - weighted M'!AV8,'[1]Loadings resolved - weighted M'!BA8,'[1]Loadings resolved - weighted M'!BF8,'[1]Loadings resolved - weighted M'!BK8,'[1]Loadings resolved - weighted M'!BP8,'[1]Loadings resolved - weighted M'!BU8)</f>
        <v>0.26</v>
      </c>
      <c r="AE8" s="177">
        <f t="shared" si="0"/>
        <v>-5.1995837050252791E-2</v>
      </c>
      <c r="AF8" s="178">
        <f t="shared" si="0"/>
        <v>-2.8630119316349539E-2</v>
      </c>
      <c r="AG8" s="100"/>
      <c r="AJ8" s="184">
        <f>SUM('[1]Loadings resolved - weighted M'!G38,'[1]Loadings resolved - weighted M'!J38,'[1]Loadings resolved - weighted M'!Q38,'[1]Loadings resolved - weighted M'!V38,'[1]Loadings resolved - weighted M'!AA38,'[1]Loadings resolved - weighted M'!AF38,'[1]Loadings resolved - weighted M'!AK38,'[1]Loadings resolved - weighted M'!AP38,'[1]Loadings resolved - weighted M'!AU38,'[1]Loadings resolved - weighted M'!AZ38,'[1]Loadings resolved - weighted M'!BE38,'[1]Loadings resolved - weighted M'!BJ38,'[1]Loadings resolved - weighted M'!BO38,'[1]Loadings resolved - weighted M'!BT38)</f>
        <v>92.482020298355181</v>
      </c>
      <c r="AK8" s="185">
        <f>SUM('[1]Loadings resolved - weighted M'!J8,'[1]Loadings resolved - weighted M'!O8,'[1]Loadings resolved - weighted M'!T8,'[1]Loadings resolved - weighted M'!Y8,'[1]Loadings resolved - weighted M'!AD8,'[1]Loadings resolved - weighted M'!AI8,'[1]Loadings resolved - weighted M'!AN8,'[1]Loadings resolved - weighted M'!AS8,'[1]Loadings resolved - weighted M'!AX8,'[1]Loadings resolved - weighted M'!BC8,'[1]Loadings resolved - weighted M'!BH8,'[1]Loadings resolved - weighted M'!BM8,'[1]Loadings resolved - weighted M'!BR8,'[1]Loadings resolved - weighted M'!BW8)</f>
        <v>6726</v>
      </c>
      <c r="AL8" s="185">
        <f>COUNT('[1]Loadings resolved - weighted M'!J23,'[1]Loadings resolved - weighted M'!O23,'[1]Loadings resolved - weighted M'!T23,'[1]Loadings resolved - weighted M'!Y23,'[1]Loadings resolved - weighted M'!AD23,'[1]Loadings resolved - weighted M'!AI23,'[1]Loadings resolved - weighted M'!AN23,'[1]Loadings resolved - weighted M'!AS23,'[1]Loadings resolved - weighted M'!AX23,'[1]Loadings resolved - weighted M'!BC23,'[1]Loadings resolved - weighted M'!BM23,'[1]Loadings resolved - weighted M'!BR23,'[1]Loadings resolved - weighted M'!BH23,'[1]Loadings resolved - weighted M'!BW23)</f>
        <v>14</v>
      </c>
      <c r="AM8" s="179">
        <f t="shared" si="4"/>
        <v>1.4807615501006113E-2</v>
      </c>
      <c r="AN8" s="179">
        <f t="shared" si="5"/>
        <v>0.12168654609695401</v>
      </c>
      <c r="AO8" s="179">
        <f t="shared" si="6"/>
        <v>8.6918961497824288E-3</v>
      </c>
      <c r="AP8" s="177">
        <f t="shared" si="7"/>
        <v>0.63300416294974726</v>
      </c>
      <c r="AQ8" s="177">
        <f t="shared" si="1"/>
        <v>0.61596804649617365</v>
      </c>
      <c r="AR8" s="177">
        <f t="shared" si="2"/>
        <v>0.65004027940332088</v>
      </c>
      <c r="AS8" s="177">
        <f t="shared" si="8"/>
        <v>1.7036116453573613E-2</v>
      </c>
      <c r="AT8" s="100"/>
      <c r="AU8" s="186">
        <f>SUM('[1]Loadings resolved - weighted M'!H38,'[1]Loadings resolved - weighted M'!M38,'[1]Loadings resolved - weighted M'!R38,'[1]Loadings resolved - weighted M'!W38,'[1]Loadings resolved - weighted M'!AB38,'[1]Loadings resolved - weighted M'!AG38,'[1]Loadings resolved - weighted M'!AL38,'[1]Loadings resolved - weighted M'!AV38,'[1]Loadings resolved - weighted M'!BA38,'[1]Loadings resolved - weighted M'!BK38,'[1]Loadings resolved - weighted M'!BP38,'[1]Loadings resolved - weighted M'!BU38)</f>
        <v>278.78109708397898</v>
      </c>
      <c r="AV8" s="187">
        <f>SUM('[1]Loadings resolved - weighted M'!J8,'[1]Loadings resolved - weighted M'!O8,'[1]Loadings resolved - weighted M'!T8,'[1]Loadings resolved - weighted M'!Y8,'[1]Loadings resolved - weighted M'!AD8,'[1]Loadings resolved - weighted M'!AI8,'[1]Loadings resolved - weighted M'!AN8,'[1]Loadings resolved - weighted M'!AX8,'[1]Loadings resolved - weighted M'!BC8,'[1]Loadings resolved - weighted M'!BH8,'[1]Loadings resolved - weighted M'!BM8,'[1]Loadings resolved - weighted M'!BR8,'[1]Loadings resolved - weighted M'!BW8)</f>
        <v>6202</v>
      </c>
      <c r="AW8" s="187">
        <f>COUNT('[1]Loadings resolved - weighted M'!H23,'[1]Loadings resolved - weighted M'!M23,'[1]Loadings resolved - weighted M'!R23,'[1]Loadings resolved - weighted M'!W23,'[1]Loadings resolved - weighted M'!AB23,'[1]Loadings resolved - weighted M'!AG23,'[1]Loadings resolved - weighted M'!AL23,'[1]Loadings resolved - weighted M'!AV23,'[1]Loadings resolved - weighted M'!BA23,'[1]Loadings resolved - weighted M'!BF23,'[1]Loadings resolved - weighted M'!BK23,'[1]Loadings resolved - weighted M'!BP23,'[1]Loadings resolved - weighted M'!BU23)</f>
        <v>13</v>
      </c>
      <c r="AX8" s="178">
        <f t="shared" si="9"/>
        <v>4.8696042433781124E-2</v>
      </c>
      <c r="AY8" s="178">
        <f t="shared" si="10"/>
        <v>0.22067179800278314</v>
      </c>
      <c r="AZ8" s="178">
        <f t="shared" si="11"/>
        <v>1.6974753692521778E-2</v>
      </c>
      <c r="BA8" s="178">
        <f t="shared" si="12"/>
        <v>0.23136988068365047</v>
      </c>
      <c r="BB8" s="178">
        <f t="shared" si="13"/>
        <v>0.1980993634463078</v>
      </c>
      <c r="BC8" s="178">
        <f t="shared" si="14"/>
        <v>0.26464039792099314</v>
      </c>
      <c r="BD8" s="178">
        <f t="shared" si="15"/>
        <v>3.3270517237342673E-2</v>
      </c>
      <c r="BE8" s="100"/>
      <c r="BF8" s="188">
        <f t="shared" si="16"/>
        <v>142.66232170324116</v>
      </c>
      <c r="BG8" s="189">
        <f>SUM('[1]Loadings resolved - weighted M'!J31,'[1]Loadings resolved - weighted M'!O31,'[1]Loadings resolved - weighted M'!T31,'[1]Loadings resolved - weighted M'!Y31,'[1]Loadings resolved - weighted M'!AD31,'[1]Loadings resolved - weighted M'!AI31,'[1]Loadings resolved - weighted M'!AN31,'[1]Loadings resolved - weighted M'!AS31,'[1]Loadings resolved - weighted M'!AX31,'[1]Loadings resolved - weighted M'!BC31,'[1]Loadings resolved - weighted M'!BH31,'[1]Loadings resolved - weighted M'!BM31,'[1]Loadings resolved - weighted M'!BR31,'[1]Loadings resolved - weighted M'!BW31)</f>
        <v>6726</v>
      </c>
      <c r="BH8" s="189">
        <f>COUNT('[1]Loadings resolved - weighted M'!I31,'[1]Loadings resolved - weighted M'!N31,'[1]Loadings resolved - weighted M'!S31,'[1]Loadings resolved - weighted M'!X31,'[1]Loadings resolved - weighted M'!AC31,'[1]Loadings resolved - weighted M'!AH31,'[1]Loadings resolved - weighted M'!AM31,'[1]Loadings resolved - weighted M'!AR31,'[1]Loadings resolved - weighted M'!AW31,'[1]Loadings resolved - weighted M'!BB31,'[1]Loadings resolved - weighted M'!BG31,'[1]Loadings resolved - weighted M'!BL31,'[1]Loadings resolved - weighted M'!BQ31,'[1]Loadings resolved - weighted M'!BV31)</f>
        <v>14</v>
      </c>
      <c r="BI8" s="181">
        <f t="shared" si="17"/>
        <v>2.2842156772174299E-2</v>
      </c>
      <c r="BJ8" s="181">
        <f>SQRT(BI8)</f>
        <v>0.15113621925989248</v>
      </c>
      <c r="BK8" s="181">
        <f t="shared" si="19"/>
        <v>1.0795444232849463E-2</v>
      </c>
      <c r="BL8" s="181">
        <f t="shared" si="20"/>
        <v>0.1974659530181386</v>
      </c>
      <c r="BM8" s="181">
        <f t="shared" si="21"/>
        <v>0.17630688232175365</v>
      </c>
      <c r="BN8" s="181">
        <f t="shared" si="22"/>
        <v>0.21862502371452355</v>
      </c>
      <c r="BO8" s="181">
        <f t="shared" si="23"/>
        <v>2.1159070696384952E-2</v>
      </c>
    </row>
    <row r="9" spans="1:68">
      <c r="A9" s="171">
        <v>6</v>
      </c>
      <c r="B9" s="171" t="s">
        <v>237</v>
      </c>
      <c r="C9" s="171"/>
      <c r="D9" s="172">
        <f>SUM('[1]Loadings resolved - weighted M'!G9*'[1]Loadings resolved - weighted M'!J9,'[1]Loadings resolved - weighted M'!L9*'[1]Loadings resolved - weighted M'!O9,'[1]Loadings resolved - weighted M'!Q9*'[1]Loadings resolved - weighted M'!T9,'[1]Loadings resolved - weighted M'!V9*'[1]Loadings resolved - weighted M'!Y9,'[1]Loadings resolved - weighted M'!AA9*'[1]Loadings resolved - weighted M'!AD9,'[1]Loadings resolved - weighted M'!AF9*'[1]Loadings resolved - weighted M'!AI9,'[1]Loadings resolved - weighted M'!AK9*'[1]Loadings resolved - weighted M'!AN9,'[1]Loadings resolved - weighted M'!AP9*'[1]Loadings resolved - weighted M'!AS9,'[1]Loadings resolved - weighted M'!AU9*'[1]Loadings resolved - weighted M'!AX9,'[1]Loadings resolved - weighted M'!AZ9*'[1]Loadings resolved - weighted M'!BC9,'[1]Loadings resolved - weighted M'!BE9*'[1]Loadings resolved - weighted M'!BH9,'[1]Loadings resolved - weighted M'!BJ9*'[1]Loadings resolved - weighted M'!BM9,'[1]Loadings resolved - weighted M'!BO9*'[1]Loadings resolved - weighted M'!BR9,'[1]Loadings resolved - weighted M'!BT9*'[1]Loadings resolved - weighted M'!BW9)/G9</f>
        <v>0.66174100505501054</v>
      </c>
      <c r="E9" s="173">
        <f>SUM('[1]Loadings resolved - weighted M'!H9*'[1]Loadings resolved - weighted M'!J9,'[1]Loadings resolved - weighted M'!M9*'[1]Loadings resolved - weighted M'!O9,'[1]Loadings resolved - weighted M'!R9*'[1]Loadings resolved - weighted M'!T9,'[1]Loadings resolved - weighted M'!W9*'[1]Loadings resolved - weighted M'!Y9,'[1]Loadings resolved - weighted M'!AB9*'[1]Loadings resolved - weighted M'!AD9,'[1]Loadings resolved - weighted M'!AG9*'[1]Loadings resolved - weighted M'!AI9,'[1]Loadings resolved - weighted M'!AL9*'[1]Loadings resolved - weighted M'!AN9,'[1]Loadings resolved - weighted M'!AV9*'[1]Loadings resolved - weighted M'!AX9,'[1]Loadings resolved - weighted M'!BA9*'[1]Loadings resolved - weighted M'!BC9,'[1]Loadings resolved - weighted M'!BF9*'[1]Loadings resolved - weighted M'!BH9,'[1]Loadings resolved - weighted M'!BK9*'[1]Loadings resolved - weighted M'!BM9,'[1]Loadings resolved - weighted M'!BP9*'[1]Loadings resolved - weighted M'!BR9,'[1]Loadings resolved - weighted M'!BU9*'[1]Loadings resolved - weighted M'!BW9)/'Weighted means, CIs, summary'!H9</f>
        <v>8.768236052886165E-2</v>
      </c>
      <c r="F9" s="174"/>
      <c r="G9" s="175">
        <f>G7</f>
        <v>6726</v>
      </c>
      <c r="H9" s="175">
        <f t="shared" si="24"/>
        <v>6202</v>
      </c>
      <c r="L9" s="177">
        <f>MIN('[1]Loadings resolved - weighted M'!G9,'[1]Loadings resolved - weighted M'!L9,'[1]Loadings resolved - weighted M'!Q9,'[1]Loadings resolved - weighted M'!V9,'[1]Loadings resolved - weighted M'!AA9,'[1]Loadings resolved - weighted M'!AF9,'[1]Loadings resolved - weighted M'!AK9,'[1]Loadings resolved - weighted M'!AP9,'[1]Loadings resolved - weighted M'!AU9,'[1]Loadings resolved - weighted M'!AZ9,'[1]Loadings resolved - weighted M'!BE9,'[1]Loadings resolved - weighted M'!BJ9,'[1]Loadings resolved - weighted M'!BO9,'[1]Loadings resolved - weighted M'!BT9)</f>
        <v>0.21</v>
      </c>
      <c r="M9" s="178">
        <f>MIN('[1]Loadings resolved - weighted M'!H9,'[1]Loadings resolved - weighted M'!M9,'[1]Loadings resolved - weighted M'!R9,'[1]Loadings resolved - weighted M'!W9,'[1]Loadings resolved - weighted M'!AB9,'[1]Loadings resolved - weighted M'!AG9,'[1]Loadings resolved - weighted M'!AL9,'[1]Loadings resolved - weighted M'!AV9,'[1]Loadings resolved - weighted M'!BA9,'[1]Loadings resolved - weighted M'!BF9,'[1]Loadings resolved - weighted M'!BK9,'[1]Loadings resolved - weighted M'!BP9,'[1]Loadings resolved - weighted M'!BU9)</f>
        <v>-0.45</v>
      </c>
      <c r="N9" s="100"/>
      <c r="Q9" s="177">
        <f>MAX('[1]Loadings resolved - weighted M'!G9,'[1]Loadings resolved - weighted M'!L9,'[1]Loadings resolved - weighted M'!Q9,'[1]Loadings resolved - weighted M'!V9,'[1]Loadings resolved - weighted M'!AA9,'[1]Loadings resolved - weighted M'!AF9,'[1]Loadings resolved - weighted M'!AK9,'[1]Loadings resolved - weighted M'!AP9,'[1]Loadings resolved - weighted M'!AU9,'[1]Loadings resolved - weighted M'!AZ9,'[1]Loadings resolved - weighted M'!BE9,'[1]Loadings resolved - weighted M'!BJ9,'[1]Loadings resolved - weighted M'!BO9,'[1]Loadings resolved - weighted M'!BT9)</f>
        <v>0.87</v>
      </c>
      <c r="R9" s="178">
        <f>MAX('[1]Loadings resolved - weighted M'!H9,'[1]Loadings resolved - weighted M'!M9,'[1]Loadings resolved - weighted M'!R9,'[1]Loadings resolved - weighted M'!W9,'[1]Loadings resolved - weighted M'!AB9,'[1]Loadings resolved - weighted M'!AG9,'[1]Loadings resolved - weighted M'!AL9,'[1]Loadings resolved - weighted M'!AV9,'[1]Loadings resolved - weighted M'!BA9,'[1]Loadings resolved - weighted M'!BF9,'[1]Loadings resolved - weighted M'!BK9,'[1]Loadings resolved - weighted M'!BP9,'[1]Loadings resolved - weighted M'!BU9)</f>
        <v>0.33</v>
      </c>
      <c r="U9" s="177">
        <f t="shared" si="3"/>
        <v>0.66</v>
      </c>
      <c r="V9" s="178">
        <f t="shared" si="3"/>
        <v>0.78</v>
      </c>
      <c r="Z9" s="183">
        <f>MEDIAN('[1]Loadings resolved - weighted M'!G9,'[1]Loadings resolved - weighted M'!L9,'[1]Loadings resolved - weighted M'!Q9,'[1]Loadings resolved - weighted M'!V9,'[1]Loadings resolved - weighted M'!AA9,'[1]Loadings resolved - weighted M'!AF9,'[1]Loadings resolved - weighted M'!AK9,'[1]Loadings resolved - weighted M'!AP9,'[1]Loadings resolved - weighted M'!AU9,'[1]Loadings resolved - weighted M'!AZ9,'[1]Loadings resolved - weighted M'!BE9,'[1]Loadings resolved - weighted M'!BJ9,'[1]Loadings resolved - weighted M'!BO9,'[1]Loadings resolved - weighted M'!BT9)</f>
        <v>0.77</v>
      </c>
      <c r="AA9" s="178">
        <f>MEDIAN('[1]Loadings resolved - weighted M'!H9,'[1]Loadings resolved - weighted M'!M9,'[1]Loadings resolved - weighted M'!R9,'[1]Loadings resolved - weighted M'!W9,'[1]Loadings resolved - weighted M'!AB9,'[1]Loadings resolved - weighted M'!AG9,'[1]Loadings resolved - weighted M'!AL9,'[1]Loadings resolved - weighted M'!AV9,'[1]Loadings resolved - weighted M'!BA9,'[1]Loadings resolved - weighted M'!BF9,'[1]Loadings resolved - weighted M'!BK9,'[1]Loadings resolved - weighted M'!BP9,'[1]Loadings resolved - weighted M'!BU9)</f>
        <v>0.13</v>
      </c>
      <c r="AE9" s="177">
        <f t="shared" si="0"/>
        <v>-0.10825899494498947</v>
      </c>
      <c r="AF9" s="178">
        <f t="shared" si="0"/>
        <v>-4.2317639471138355E-2</v>
      </c>
      <c r="AG9" s="100"/>
      <c r="AJ9" s="184">
        <f>SUM('[1]Loadings resolved - weighted M'!G39,'[1]Loadings resolved - weighted M'!J39,'[1]Loadings resolved - weighted M'!Q39,'[1]Loadings resolved - weighted M'!V39,'[1]Loadings resolved - weighted M'!AA39,'[1]Loadings resolved - weighted M'!AF39,'[1]Loadings resolved - weighted M'!AK39,'[1]Loadings resolved - weighted M'!AP39,'[1]Loadings resolved - weighted M'!AU39,'[1]Loadings resolved - weighted M'!AZ39,'[1]Loadings resolved - weighted M'!BE39,'[1]Loadings resolved - weighted M'!BJ39,'[1]Loadings resolved - weighted M'!BO39,'[1]Loadings resolved - weighted M'!BT39)</f>
        <v>260.27362929558512</v>
      </c>
      <c r="AK9" s="185">
        <f>SUM('[1]Loadings resolved - weighted M'!J9,'[1]Loadings resolved - weighted M'!O9,'[1]Loadings resolved - weighted M'!T9,'[1]Loadings resolved - weighted M'!Y9,'[1]Loadings resolved - weighted M'!AD9,'[1]Loadings resolved - weighted M'!AI9,'[1]Loadings resolved - weighted M'!AN9,'[1]Loadings resolved - weighted M'!AS9,'[1]Loadings resolved - weighted M'!AX9,'[1]Loadings resolved - weighted M'!BC9,'[1]Loadings resolved - weighted M'!BH9,'[1]Loadings resolved - weighted M'!BM9,'[1]Loadings resolved - weighted M'!BR9,'[1]Loadings resolved - weighted M'!BW9)</f>
        <v>6726</v>
      </c>
      <c r="AL9" s="185">
        <f>COUNT('[1]Loadings resolved - weighted M'!J24,'[1]Loadings resolved - weighted M'!O24,'[1]Loadings resolved - weighted M'!T24,'[1]Loadings resolved - weighted M'!Y24,'[1]Loadings resolved - weighted M'!AD24,'[1]Loadings resolved - weighted M'!AI24,'[1]Loadings resolved - weighted M'!AN24,'[1]Loadings resolved - weighted M'!AS24,'[1]Loadings resolved - weighted M'!AX24,'[1]Loadings resolved - weighted M'!BC24,'[1]Loadings resolved - weighted M'!BM24,'[1]Loadings resolved - weighted M'!BR24,'[1]Loadings resolved - weighted M'!BH24,'[1]Loadings resolved - weighted M'!BW24)</f>
        <v>14</v>
      </c>
      <c r="AM9" s="179">
        <f t="shared" si="4"/>
        <v>4.1673309203529262E-2</v>
      </c>
      <c r="AN9" s="179">
        <f t="shared" si="5"/>
        <v>0.20414041540941683</v>
      </c>
      <c r="AO9" s="179">
        <f t="shared" si="6"/>
        <v>1.4581458243529773E-2</v>
      </c>
      <c r="AP9" s="177">
        <f t="shared" si="7"/>
        <v>0.66174100505501054</v>
      </c>
      <c r="AQ9" s="177">
        <f t="shared" si="1"/>
        <v>0.63316134689769221</v>
      </c>
      <c r="AR9" s="177">
        <f t="shared" si="2"/>
        <v>0.69032066321232888</v>
      </c>
      <c r="AS9" s="177">
        <f t="shared" si="8"/>
        <v>2.8579658157318333E-2</v>
      </c>
      <c r="AT9" s="100"/>
      <c r="AU9" s="186">
        <f>SUM('[1]Loadings resolved - weighted M'!H39,'[1]Loadings resolved - weighted M'!M39,'[1]Loadings resolved - weighted M'!R39,'[1]Loadings resolved - weighted M'!W39,'[1]Loadings resolved - weighted M'!AB39,'[1]Loadings resolved - weighted M'!AG39,'[1]Loadings resolved - weighted M'!AL39,'[1]Loadings resolved - weighted M'!AV39,'[1]Loadings resolved - weighted M'!BA39,'[1]Loadings resolved - weighted M'!BK39,'[1]Loadings resolved - weighted M'!BP39,'[1]Loadings resolved - weighted M'!BU39)</f>
        <v>492.81215516513163</v>
      </c>
      <c r="AV9" s="187">
        <f>SUM('[1]Loadings resolved - weighted M'!J9,'[1]Loadings resolved - weighted M'!O9,'[1]Loadings resolved - weighted M'!T9,'[1]Loadings resolved - weighted M'!Y9,'[1]Loadings resolved - weighted M'!AD9,'[1]Loadings resolved - weighted M'!AI9,'[1]Loadings resolved - weighted M'!AN9,'[1]Loadings resolved - weighted M'!AX9,'[1]Loadings resolved - weighted M'!BC9,'[1]Loadings resolved - weighted M'!BH9,'[1]Loadings resolved - weighted M'!BM9,'[1]Loadings resolved - weighted M'!BR9,'[1]Loadings resolved - weighted M'!BW9)</f>
        <v>6202</v>
      </c>
      <c r="AW9" s="187">
        <f>COUNT('[1]Loadings resolved - weighted M'!H24,'[1]Loadings resolved - weighted M'!M24,'[1]Loadings resolved - weighted M'!R24,'[1]Loadings resolved - weighted M'!W24,'[1]Loadings resolved - weighted M'!AB24,'[1]Loadings resolved - weighted M'!AG24,'[1]Loadings resolved - weighted M'!AL24,'[1]Loadings resolved - weighted M'!AV24,'[1]Loadings resolved - weighted M'!BA24,'[1]Loadings resolved - weighted M'!BF24,'[1]Loadings resolved - weighted M'!BK24,'[1]Loadings resolved - weighted M'!BP24,'[1]Loadings resolved - weighted M'!BU24)</f>
        <v>13</v>
      </c>
      <c r="AX9" s="178">
        <f t="shared" si="9"/>
        <v>8.6081882418933553E-2</v>
      </c>
      <c r="AY9" s="178">
        <f t="shared" si="10"/>
        <v>0.29339714112263188</v>
      </c>
      <c r="AZ9" s="178">
        <f t="shared" si="11"/>
        <v>2.2569010855587067E-2</v>
      </c>
      <c r="BA9" s="178">
        <f t="shared" si="12"/>
        <v>8.768236052886165E-2</v>
      </c>
      <c r="BB9" s="178">
        <f t="shared" si="13"/>
        <v>4.3447099251911002E-2</v>
      </c>
      <c r="BC9" s="178">
        <f t="shared" si="14"/>
        <v>0.13191762180581229</v>
      </c>
      <c r="BD9" s="178">
        <f t="shared" si="15"/>
        <v>4.4235261276950641E-2</v>
      </c>
      <c r="BE9" s="100"/>
      <c r="BF9" s="188"/>
      <c r="BG9" s="189"/>
      <c r="BH9" s="189"/>
      <c r="BI9" s="181"/>
      <c r="BJ9" s="181"/>
      <c r="BK9" s="181"/>
      <c r="BL9" s="181"/>
      <c r="BM9" s="181"/>
      <c r="BN9" s="181"/>
      <c r="BO9" s="181"/>
    </row>
    <row r="10" spans="1:68">
      <c r="A10" s="171">
        <v>7</v>
      </c>
      <c r="B10" s="171" t="s">
        <v>238</v>
      </c>
      <c r="C10" s="171"/>
      <c r="D10" s="172">
        <f>SUM('[1]Loadings resolved - weighted M'!G10*'[1]Loadings resolved - weighted M'!J10,'[1]Loadings resolved - weighted M'!L10*'[1]Loadings resolved - weighted M'!O10,'[1]Loadings resolved - weighted M'!Q10*'[1]Loadings resolved - weighted M'!T10,'[1]Loadings resolved - weighted M'!V10*'[1]Loadings resolved - weighted M'!Y10,'[1]Loadings resolved - weighted M'!AA10*'[1]Loadings resolved - weighted M'!AD10,'[1]Loadings resolved - weighted M'!AF10*'[1]Loadings resolved - weighted M'!AI10,'[1]Loadings resolved - weighted M'!AK10*'[1]Loadings resolved - weighted M'!AN10,'[1]Loadings resolved - weighted M'!AP10*'[1]Loadings resolved - weighted M'!AS10,'[1]Loadings resolved - weighted M'!AU10*'[1]Loadings resolved - weighted M'!AX10,'[1]Loadings resolved - weighted M'!AZ10*'[1]Loadings resolved - weighted M'!BC10,'[1]Loadings resolved - weighted M'!BE10*'[1]Loadings resolved - weighted M'!BH10,'[1]Loadings resolved - weighted M'!BJ10*'[1]Loadings resolved - weighted M'!BM10,'[1]Loadings resolved - weighted M'!BO10*'[1]Loadings resolved - weighted M'!BR10,'[1]Loadings resolved - weighted M'!BT10*'[1]Loadings resolved - weighted M'!BW10)/G10</f>
        <v>0.59388700564971764</v>
      </c>
      <c r="E10" s="173">
        <f>SUM('[1]Loadings resolved - weighted M'!H10*'[1]Loadings resolved - weighted M'!J10,'[1]Loadings resolved - weighted M'!M10*'[1]Loadings resolved - weighted M'!O10,'[1]Loadings resolved - weighted M'!R10*'[1]Loadings resolved - weighted M'!T10,'[1]Loadings resolved - weighted M'!W10*'[1]Loadings resolved - weighted M'!Y10,'[1]Loadings resolved - weighted M'!AB10*'[1]Loadings resolved - weighted M'!AD10,'[1]Loadings resolved - weighted M'!AG10*'[1]Loadings resolved - weighted M'!AI10,'[1]Loadings resolved - weighted M'!AL10*'[1]Loadings resolved - weighted M'!AN10,'[1]Loadings resolved - weighted M'!AV10*'[1]Loadings resolved - weighted M'!AX10,'[1]Loadings resolved - weighted M'!BA10*'[1]Loadings resolved - weighted M'!BC10,'[1]Loadings resolved - weighted M'!BF10*'[1]Loadings resolved - weighted M'!BH10,'[1]Loadings resolved - weighted M'!BK10*'[1]Loadings resolved - weighted M'!BM10,'[1]Loadings resolved - weighted M'!BP10*'[1]Loadings resolved - weighted M'!BR10,'[1]Loadings resolved - weighted M'!BU10*'[1]Loadings resolved - weighted M'!BW10)/'Weighted means, CIs, summary'!H10</f>
        <v>0.38161528539180906</v>
      </c>
      <c r="F10" s="174"/>
      <c r="G10" s="175">
        <f>G8</f>
        <v>6726</v>
      </c>
      <c r="H10" s="175">
        <f t="shared" si="24"/>
        <v>6202</v>
      </c>
      <c r="L10" s="177">
        <f>MIN('[1]Loadings resolved - weighted M'!G10,'[1]Loadings resolved - weighted M'!L10,'[1]Loadings resolved - weighted M'!Q10,'[1]Loadings resolved - weighted M'!V10,'[1]Loadings resolved - weighted M'!AA10,'[1]Loadings resolved - weighted M'!AF10,'[1]Loadings resolved - weighted M'!AK10,'[1]Loadings resolved - weighted M'!AP10,'[1]Loadings resolved - weighted M'!AU10,'[1]Loadings resolved - weighted M'!AZ10,'[1]Loadings resolved - weighted M'!BE10,'[1]Loadings resolved - weighted M'!BJ10,'[1]Loadings resolved - weighted M'!BO10,'[1]Loadings resolved - weighted M'!BT10)</f>
        <v>0.27</v>
      </c>
      <c r="M10" s="178">
        <f>MIN('[1]Loadings resolved - weighted M'!H10,'[1]Loadings resolved - weighted M'!M10,'[1]Loadings resolved - weighted M'!R10,'[1]Loadings resolved - weighted M'!W10,'[1]Loadings resolved - weighted M'!AB10,'[1]Loadings resolved - weighted M'!AG10,'[1]Loadings resolved - weighted M'!AL10,'[1]Loadings resolved - weighted M'!AV10,'[1]Loadings resolved - weighted M'!BA10,'[1]Loadings resolved - weighted M'!BF10,'[1]Loadings resolved - weighted M'!BK10,'[1]Loadings resolved - weighted M'!BP10,'[1]Loadings resolved - weighted M'!BU10)</f>
        <v>-0.27</v>
      </c>
      <c r="N10" s="100"/>
      <c r="Q10" s="177">
        <f>MAX('[1]Loadings resolved - weighted M'!G10,'[1]Loadings resolved - weighted M'!L10,'[1]Loadings resolved - weighted M'!Q10,'[1]Loadings resolved - weighted M'!V10,'[1]Loadings resolved - weighted M'!AA10,'[1]Loadings resolved - weighted M'!AF10,'[1]Loadings resolved - weighted M'!AK10,'[1]Loadings resolved - weighted M'!AP10,'[1]Loadings resolved - weighted M'!AU10,'[1]Loadings resolved - weighted M'!AZ10,'[1]Loadings resolved - weighted M'!BE10,'[1]Loadings resolved - weighted M'!BJ10,'[1]Loadings resolved - weighted M'!BO10,'[1]Loadings resolved - weighted M'!BT10)</f>
        <v>0.75</v>
      </c>
      <c r="R10" s="178">
        <f>MAX('[1]Loadings resolved - weighted M'!H10,'[1]Loadings resolved - weighted M'!M10,'[1]Loadings resolved - weighted M'!R10,'[1]Loadings resolved - weighted M'!W10,'[1]Loadings resolved - weighted M'!AB10,'[1]Loadings resolved - weighted M'!AG10,'[1]Loadings resolved - weighted M'!AL10,'[1]Loadings resolved - weighted M'!AV10,'[1]Loadings resolved - weighted M'!BA10,'[1]Loadings resolved - weighted M'!BF10,'[1]Loadings resolved - weighted M'!BK10,'[1]Loadings resolved - weighted M'!BP10,'[1]Loadings resolved - weighted M'!BU10)</f>
        <v>0.76</v>
      </c>
      <c r="U10" s="177">
        <f t="shared" si="3"/>
        <v>0.48</v>
      </c>
      <c r="V10" s="178">
        <f t="shared" si="3"/>
        <v>1.03</v>
      </c>
      <c r="Z10" s="183">
        <f>MEDIAN('[1]Loadings resolved - weighted M'!G10,'[1]Loadings resolved - weighted M'!L10,'[1]Loadings resolved - weighted M'!Q10,'[1]Loadings resolved - weighted M'!V10,'[1]Loadings resolved - weighted M'!AA10,'[1]Loadings resolved - weighted M'!AF10,'[1]Loadings resolved - weighted M'!AK10,'[1]Loadings resolved - weighted M'!AP10,'[1]Loadings resolved - weighted M'!AU10,'[1]Loadings resolved - weighted M'!AZ10,'[1]Loadings resolved - weighted M'!BE10,'[1]Loadings resolved - weighted M'!BJ10,'[1]Loadings resolved - weighted M'!BO10,'[1]Loadings resolved - weighted M'!BT10)</f>
        <v>0.64</v>
      </c>
      <c r="AA10" s="178">
        <f>MEDIAN('[1]Loadings resolved - weighted M'!H10,'[1]Loadings resolved - weighted M'!M10,'[1]Loadings resolved - weighted M'!R10,'[1]Loadings resolved - weighted M'!W10,'[1]Loadings resolved - weighted M'!AB10,'[1]Loadings resolved - weighted M'!AG10,'[1]Loadings resolved - weighted M'!AL10,'[1]Loadings resolved - weighted M'!AV10,'[1]Loadings resolved - weighted M'!BA10,'[1]Loadings resolved - weighted M'!BF10,'[1]Loadings resolved - weighted M'!BK10,'[1]Loadings resolved - weighted M'!BP10,'[1]Loadings resolved - weighted M'!BU10)</f>
        <v>0.28000000000000003</v>
      </c>
      <c r="AE10" s="177">
        <f t="shared" si="0"/>
        <v>-4.6112994350282377E-2</v>
      </c>
      <c r="AF10" s="178">
        <f t="shared" si="0"/>
        <v>0.10161528539180903</v>
      </c>
      <c r="AG10" s="100"/>
      <c r="AJ10" s="184">
        <f>SUM('[1]Loadings resolved - weighted M'!G40,'[1]Loadings resolved - weighted M'!J40,'[1]Loadings resolved - weighted M'!Q40,'[1]Loadings resolved - weighted M'!V40,'[1]Loadings resolved - weighted M'!AA40,'[1]Loadings resolved - weighted M'!AF40,'[1]Loadings resolved - weighted M'!AK40,'[1]Loadings resolved - weighted M'!AP40,'[1]Loadings resolved - weighted M'!AU40,'[1]Loadings resolved - weighted M'!AZ40,'[1]Loadings resolved - weighted M'!BE40,'[1]Loadings resolved - weighted M'!BJ40,'[1]Loadings resolved - weighted M'!BO40,'[1]Loadings resolved - weighted M'!BT40)</f>
        <v>152.63422160451975</v>
      </c>
      <c r="AK10" s="185">
        <f>SUM('[1]Loadings resolved - weighted M'!J10,'[1]Loadings resolved - weighted M'!O10,'[1]Loadings resolved - weighted M'!T10,'[1]Loadings resolved - weighted M'!Y10,'[1]Loadings resolved - weighted M'!AD10,'[1]Loadings resolved - weighted M'!AI10,'[1]Loadings resolved - weighted M'!AN10,'[1]Loadings resolved - weighted M'!AS10,'[1]Loadings resolved - weighted M'!AX10,'[1]Loadings resolved - weighted M'!BC10,'[1]Loadings resolved - weighted M'!BH10,'[1]Loadings resolved - weighted M'!BM10,'[1]Loadings resolved - weighted M'!BR10,'[1]Loadings resolved - weighted M'!BW10)</f>
        <v>6726</v>
      </c>
      <c r="AL10" s="185">
        <f>COUNT('[1]Loadings resolved - weighted M'!J25,'[1]Loadings resolved - weighted M'!O25,'[1]Loadings resolved - weighted M'!T25,'[1]Loadings resolved - weighted M'!Y25,'[1]Loadings resolved - weighted M'!AD25,'[1]Loadings resolved - weighted M'!AI25,'[1]Loadings resolved - weighted M'!AN25,'[1]Loadings resolved - weighted M'!AS25,'[1]Loadings resolved - weighted M'!AX25,'[1]Loadings resolved - weighted M'!BC25,'[1]Loadings resolved - weighted M'!BM25,'[1]Loadings resolved - weighted M'!BR25,'[1]Loadings resolved - weighted M'!BH25,'[1]Loadings resolved - weighted M'!BW25)</f>
        <v>14</v>
      </c>
      <c r="AM10" s="179">
        <f t="shared" si="4"/>
        <v>2.4438792086544484E-2</v>
      </c>
      <c r="AN10" s="179">
        <f t="shared" si="5"/>
        <v>0.15632911464773439</v>
      </c>
      <c r="AO10" s="179">
        <f t="shared" si="6"/>
        <v>1.1166365331981027E-2</v>
      </c>
      <c r="AP10" s="177">
        <f t="shared" si="7"/>
        <v>0.59388700564971764</v>
      </c>
      <c r="AQ10" s="177">
        <f t="shared" si="1"/>
        <v>0.57200092959903481</v>
      </c>
      <c r="AR10" s="177">
        <f t="shared" si="2"/>
        <v>0.61577308170040046</v>
      </c>
      <c r="AS10" s="177">
        <f t="shared" si="8"/>
        <v>2.1886076050682823E-2</v>
      </c>
      <c r="AT10" s="100"/>
      <c r="AU10" s="186">
        <f>SUM('[1]Loadings resolved - weighted M'!H40,'[1]Loadings resolved - weighted M'!M40,'[1]Loadings resolved - weighted M'!R40,'[1]Loadings resolved - weighted M'!W40,'[1]Loadings resolved - weighted M'!AB40,'[1]Loadings resolved - weighted M'!AG40,'[1]Loadings resolved - weighted M'!AL40,'[1]Loadings resolved - weighted M'!AV40,'[1]Loadings resolved - weighted M'!BA40,'[1]Loadings resolved - weighted M'!BK40,'[1]Loadings resolved - weighted M'!BP40,'[1]Loadings resolved - weighted M'!BU40)</f>
        <v>316.64451204285547</v>
      </c>
      <c r="AV10" s="187">
        <f>SUM('[1]Loadings resolved - weighted M'!J10,'[1]Loadings resolved - weighted M'!O10,'[1]Loadings resolved - weighted M'!T10,'[1]Loadings resolved - weighted M'!Y10,'[1]Loadings resolved - weighted M'!AD10,'[1]Loadings resolved - weighted M'!AI10,'[1]Loadings resolved - weighted M'!AN10,'[1]Loadings resolved - weighted M'!AX10,'[1]Loadings resolved - weighted M'!BC10,'[1]Loadings resolved - weighted M'!BH10,'[1]Loadings resolved - weighted M'!BM10,'[1]Loadings resolved - weighted M'!BR10,'[1]Loadings resolved - weighted M'!BW10)</f>
        <v>6202</v>
      </c>
      <c r="AW10" s="187">
        <f>COUNT('[1]Loadings resolved - weighted M'!H25,'[1]Loadings resolved - weighted M'!M25,'[1]Loadings resolved - weighted M'!R25,'[1]Loadings resolved - weighted M'!W25,'[1]Loadings resolved - weighted M'!AB25,'[1]Loadings resolved - weighted M'!AG25,'[1]Loadings resolved - weighted M'!AL25,'[1]Loadings resolved - weighted M'!AV25,'[1]Loadings resolved - weighted M'!BA25,'[1]Loadings resolved - weighted M'!BF25,'[1]Loadings resolved - weighted M'!BK25,'[1]Loadings resolved - weighted M'!BP25,'[1]Loadings resolved - weighted M'!BU25)</f>
        <v>13</v>
      </c>
      <c r="AX10" s="178">
        <f t="shared" si="9"/>
        <v>5.5309828234939282E-2</v>
      </c>
      <c r="AY10" s="178">
        <f t="shared" si="10"/>
        <v>0.23518041635080775</v>
      </c>
      <c r="AZ10" s="178">
        <f t="shared" si="11"/>
        <v>1.8090801257754443E-2</v>
      </c>
      <c r="BA10" s="178">
        <f t="shared" si="12"/>
        <v>0.38161528539180906</v>
      </c>
      <c r="BB10" s="178">
        <f t="shared" si="13"/>
        <v>0.34615731492661034</v>
      </c>
      <c r="BC10" s="178">
        <f t="shared" si="14"/>
        <v>0.41707325585700777</v>
      </c>
      <c r="BD10" s="178">
        <f t="shared" si="15"/>
        <v>3.5457970465198718E-2</v>
      </c>
      <c r="BE10" s="100"/>
      <c r="BF10" s="188"/>
      <c r="BG10" s="189"/>
      <c r="BH10" s="189"/>
      <c r="BI10" s="181"/>
      <c r="BJ10" s="181"/>
      <c r="BK10" s="181"/>
      <c r="BL10" s="181"/>
      <c r="BM10" s="181"/>
      <c r="BN10" s="181"/>
      <c r="BO10" s="181"/>
    </row>
    <row r="11" spans="1:68" s="197" customFormat="1">
      <c r="A11" s="180"/>
      <c r="B11" s="191" t="s">
        <v>220</v>
      </c>
      <c r="C11" s="191"/>
      <c r="D11" s="172"/>
      <c r="E11" s="192"/>
      <c r="F11" s="192"/>
      <c r="G11" s="193"/>
      <c r="H11" s="193"/>
      <c r="I11" s="194"/>
      <c r="J11" s="194"/>
      <c r="K11" s="194"/>
      <c r="L11" s="195"/>
      <c r="M11" s="196"/>
      <c r="N11" s="196"/>
      <c r="Q11" s="195"/>
      <c r="U11" s="196"/>
      <c r="V11" s="196"/>
      <c r="W11" s="196"/>
      <c r="Z11" s="198"/>
      <c r="AE11" s="196"/>
      <c r="AF11" s="196"/>
      <c r="AG11" s="196"/>
      <c r="AJ11" s="199"/>
      <c r="AK11" s="200"/>
      <c r="AL11" s="200"/>
      <c r="AM11" s="201"/>
      <c r="AN11" s="201"/>
      <c r="AO11" s="201"/>
      <c r="AP11" s="196"/>
      <c r="AQ11" s="196"/>
      <c r="AR11" s="196"/>
      <c r="AS11" s="196"/>
      <c r="AT11" s="196"/>
      <c r="AV11" s="202"/>
      <c r="AW11" s="202"/>
      <c r="AX11" s="196"/>
      <c r="AY11" s="196"/>
      <c r="AZ11" s="196"/>
      <c r="BA11" s="196"/>
      <c r="BB11" s="196"/>
      <c r="BC11" s="196"/>
      <c r="BD11" s="196"/>
      <c r="BE11" s="196"/>
      <c r="BF11" s="203"/>
      <c r="BG11" s="202"/>
      <c r="BH11" s="202"/>
      <c r="BI11" s="196"/>
      <c r="BJ11" s="196"/>
      <c r="BK11" s="196"/>
      <c r="BL11" s="196"/>
      <c r="BM11" s="196"/>
      <c r="BN11" s="196"/>
      <c r="BO11" s="196"/>
    </row>
    <row r="12" spans="1:68">
      <c r="A12" s="180">
        <v>8</v>
      </c>
      <c r="B12" s="180" t="s">
        <v>239</v>
      </c>
      <c r="C12" s="180"/>
      <c r="D12" s="172">
        <f>SUM('[1]Loadings resolved - weighted M'!G12*'[1]Loadings resolved - weighted M'!J12,'[1]Loadings resolved - weighted M'!L12*'[1]Loadings resolved - weighted M'!O12,'[1]Loadings resolved - weighted M'!Q12*'[1]Loadings resolved - weighted M'!T12,'[1]Loadings resolved - weighted M'!V12*'[1]Loadings resolved - weighted M'!Y12,'[1]Loadings resolved - weighted M'!AA12*'[1]Loadings resolved - weighted M'!AD12,'[1]Loadings resolved - weighted M'!AF12*'[1]Loadings resolved - weighted M'!AI12,'[1]Loadings resolved - weighted M'!AK12*'[1]Loadings resolved - weighted M'!AN12,'[1]Loadings resolved - weighted M'!AP12*'[1]Loadings resolved - weighted M'!AS12,'[1]Loadings resolved - weighted M'!AU12*'[1]Loadings resolved - weighted M'!AX12,'[1]Loadings resolved - weighted M'!AZ12*'[1]Loadings resolved - weighted M'!BC12,'[1]Loadings resolved - weighted M'!BE12*'[1]Loadings resolved - weighted M'!BH12,'[1]Loadings resolved - weighted M'!BJ12*'[1]Loadings resolved - weighted M'!BM12,'[1]Loadings resolved - weighted M'!BO12*'[1]Loadings resolved - weighted M'!BR12,'[1]Loadings resolved - weighted M'!BT12*'[1]Loadings resolved - weighted M'!BW12)/G12</f>
        <v>0.68290068391317282</v>
      </c>
      <c r="E12" s="174"/>
      <c r="F12" s="204">
        <f>SUM('[1]Loadings resolved - weighted M'!I12*'[1]Loadings resolved - weighted M'!J12,'[1]Loadings resolved - weighted M'!N12*'[1]Loadings resolved - weighted M'!O12,'[1]Loadings resolved - weighted M'!S12*'[1]Loadings resolved - weighted M'!T12,'[1]Loadings resolved - weighted M'!X12*'[1]Loadings resolved - weighted M'!Y12,'[1]Loadings resolved - weighted M'!AC12*'[1]Loadings resolved - weighted M'!AD12,'[1]Loadings resolved - weighted M'!AH12*'[1]Loadings resolved - weighted M'!AI12,'[1]Loadings resolved - weighted M'!AM12*'[1]Loadings resolved - weighted M'!AN12,'[1]Loadings resolved - weighted M'!AR12*'[1]Loadings resolved - weighted M'!AS12,'[1]Loadings resolved - weighted M'!AW12*'[1]Loadings resolved - weighted M'!AX12,'[1]Loadings resolved - weighted M'!BB12*'[1]Loadings resolved - weighted M'!BC12,'[1]Loadings resolved - weighted M'!BG12*'[1]Loadings resolved - weighted M'!BH12,'[1]Loadings resolved - weighted M'!BL12*'[1]Loadings resolved - weighted M'!BM12,'[1]Loadings resolved - weighted M'!BQ12*'[1]Loadings resolved - weighted M'!BR12,'[1]Loadings resolved - weighted M'!BV12*'[1]Loadings resolved - weighted M'!BW12)/'Weighted means, CIs, summary'!G12</f>
        <v>0.17188581623550406</v>
      </c>
      <c r="G12" s="175">
        <f>G10</f>
        <v>6726</v>
      </c>
      <c r="H12" s="175"/>
      <c r="L12" s="177">
        <f>MIN('[1]Loadings resolved - weighted M'!G12,'[1]Loadings resolved - weighted M'!L12,'[1]Loadings resolved - weighted M'!Q12,'[1]Loadings resolved - weighted M'!V12,'[1]Loadings resolved - weighted M'!AA12,'[1]Loadings resolved - weighted M'!AF12,'[1]Loadings resolved - weighted M'!AK12,'[1]Loadings resolved - weighted M'!AP12,'[1]Loadings resolved - weighted M'!AU12,'[1]Loadings resolved - weighted M'!AZ12,'[1]Loadings resolved - weighted M'!BE12,'[1]Loadings resolved - weighted M'!BJ12,'[1]Loadings resolved - weighted M'!BO12,'[1]Loadings resolved - weighted M'!BT12)</f>
        <v>0.39</v>
      </c>
      <c r="M12" s="100"/>
      <c r="N12" s="181">
        <f>MIN('[1]Loadings resolved - weighted M'!I12,'[1]Loadings resolved - weighted M'!N12,'[1]Loadings resolved - weighted M'!S12,'[1]Loadings resolved - weighted M'!X12,'[1]Loadings resolved - weighted M'!AC12,'[1]Loadings resolved - weighted M'!AH12,'[1]Loadings resolved - weighted M'!AM12,'[1]Loadings resolved - weighted M'!AR12,'[1]Loadings resolved - weighted M'!AW12,'[1]Loadings resolved - weighted M'!BB12,'[1]Loadings resolved - weighted M'!BG12,'[1]Loadings resolved - weighted M'!BL12,'[1]Loadings resolved - weighted M'!BQ12,'[1]Loadings resolved - weighted M'!BV12)</f>
        <v>-0.27</v>
      </c>
      <c r="Q12" s="177">
        <f>MAX('[1]Loadings resolved - weighted M'!G12,'[1]Loadings resolved - weighted M'!L12,'[1]Loadings resolved - weighted M'!Q12,'[1]Loadings resolved - weighted M'!V12,'[1]Loadings resolved - weighted M'!AA12,'[1]Loadings resolved - weighted M'!AF12,'[1]Loadings resolved - weighted M'!AK12,'[1]Loadings resolved - weighted M'!AP12,'[1]Loadings resolved - weighted M'!AU12,'[1]Loadings resolved - weighted M'!AZ12,'[1]Loadings resolved - weighted M'!BE12,'[1]Loadings resolved - weighted M'!BJ12,'[1]Loadings resolved - weighted M'!BO12,'[1]Loadings resolved - weighted M'!BT12)</f>
        <v>0.82</v>
      </c>
      <c r="S12" s="181">
        <f>MAX('[1]Loadings resolved - weighted M'!I12,'[1]Loadings resolved - weighted M'!N12,'[1]Loadings resolved - weighted M'!S12,'[1]Loadings resolved - weighted M'!X12,'[1]Loadings resolved - weighted M'!AC12,'[1]Loadings resolved - weighted M'!AH12,'[1]Loadings resolved - weighted M'!AM12,'[1]Loadings resolved - weighted M'!AR12,'[1]Loadings resolved - weighted M'!AW12,'[1]Loadings resolved - weighted M'!BB12,'[1]Loadings resolved - weighted M'!BG12,'[1]Loadings resolved - weighted M'!BL12,'[1]Loadings resolved - weighted M'!BQ12,'[1]Loadings resolved - weighted M'!BV12)</f>
        <v>0.53300000000000003</v>
      </c>
      <c r="U12" s="177">
        <f t="shared" si="3"/>
        <v>0.42999999999999994</v>
      </c>
      <c r="W12" s="181">
        <f t="shared" si="3"/>
        <v>0.80300000000000005</v>
      </c>
      <c r="Z12" s="183">
        <f>MEDIAN('[1]Loadings resolved - weighted M'!G12,'[1]Loadings resolved - weighted M'!L12,'[1]Loadings resolved - weighted M'!Q12,'[1]Loadings resolved - weighted M'!V12,'[1]Loadings resolved - weighted M'!AA12,'[1]Loadings resolved - weighted M'!AF12,'[1]Loadings resolved - weighted M'!AK12,'[1]Loadings resolved - weighted M'!AP12,'[1]Loadings resolved - weighted M'!AU12,'[1]Loadings resolved - weighted M'!AZ12,'[1]Loadings resolved - weighted M'!BE12,'[1]Loadings resolved - weighted M'!BJ12,'[1]Loadings resolved - weighted M'!BO12,'[1]Loadings resolved - weighted M'!BT12)</f>
        <v>0.70499999999999996</v>
      </c>
      <c r="AB12" s="181">
        <f>MEDIAN('[1]Loadings resolved - weighted M'!I12,'[1]Loadings resolved - weighted M'!N12,'[1]Loadings resolved - weighted M'!S12,'[1]Loadings resolved - weighted M'!X12,'[1]Loadings resolved - weighted M'!AC12,'[1]Loadings resolved - weighted M'!AH12,'[1]Loadings resolved - weighted M'!AM12,'[1]Loadings resolved - weighted M'!AR12,'[1]Loadings resolved - weighted M'!AW12,'[1]Loadings resolved - weighted M'!BB12,'[1]Loadings resolved - weighted M'!BG12,'[1]Loadings resolved - weighted M'!BL12,'[1]Loadings resolved - weighted M'!BQ12,'[1]Loadings resolved - weighted M'!BV12)</f>
        <v>0.24</v>
      </c>
      <c r="AC12" s="196"/>
      <c r="AD12" s="100"/>
      <c r="AE12" s="177">
        <f>D12-Z12</f>
        <v>-2.2099316086827137E-2</v>
      </c>
      <c r="AF12" s="100"/>
      <c r="AG12" s="181">
        <f>F12-AB12</f>
        <v>-6.8114183764495934E-2</v>
      </c>
      <c r="AH12" s="100"/>
      <c r="AJ12" s="184">
        <f>SUM('[1]Loadings resolved - weighted M'!G42,'[1]Loadings resolved - weighted M'!J42,'[1]Loadings resolved - weighted M'!Q42,'[1]Loadings resolved - weighted M'!V42,'[1]Loadings resolved - weighted M'!AA42,'[1]Loadings resolved - weighted M'!AF42,'[1]Loadings resolved - weighted M'!AK42,'[1]Loadings resolved - weighted M'!AP42,'[1]Loadings resolved - weighted M'!AU42,'[1]Loadings resolved - weighted M'!AZ42,'[1]Loadings resolved - weighted M'!BE42,'[1]Loadings resolved - weighted M'!BJ42,'[1]Loadings resolved - weighted M'!BO42,'[1]Loadings resolved - weighted M'!BT42)</f>
        <v>76.885642270372614</v>
      </c>
      <c r="AK12" s="185">
        <f>SUM('[1]Loadings resolved - weighted M'!J12,'[1]Loadings resolved - weighted M'!O12,'[1]Loadings resolved - weighted M'!T12,'[1]Loadings resolved - weighted M'!Y12,'[1]Loadings resolved - weighted M'!AD12,'[1]Loadings resolved - weighted M'!AI12,'[1]Loadings resolved - weighted M'!AN12,'[1]Loadings resolved - weighted M'!AS12,'[1]Loadings resolved - weighted M'!AX12,'[1]Loadings resolved - weighted M'!BC12,'[1]Loadings resolved - weighted M'!BH12,'[1]Loadings resolved - weighted M'!BM12,'[1]Loadings resolved - weighted M'!BR12,'[1]Loadings resolved - weighted M'!BW12)</f>
        <v>6726</v>
      </c>
      <c r="AL12" s="185">
        <f>COUNT('[1]Loadings resolved - weighted M'!J27,'[1]Loadings resolved - weighted M'!O27,'[1]Loadings resolved - weighted M'!T27,'[1]Loadings resolved - weighted M'!Y27,'[1]Loadings resolved - weighted M'!AD27,'[1]Loadings resolved - weighted M'!AI27,'[1]Loadings resolved - weighted M'!AN27,'[1]Loadings resolved - weighted M'!AS27,'[1]Loadings resolved - weighted M'!AX27,'[1]Loadings resolved - weighted M'!BC27,'[1]Loadings resolved - weighted M'!BM27,'[1]Loadings resolved - weighted M'!BR27,'[1]Loadings resolved - weighted M'!BH27,'[1]Loadings resolved - weighted M'!BW27)</f>
        <v>14</v>
      </c>
      <c r="AM12" s="179">
        <f t="shared" si="4"/>
        <v>1.2310425579098522E-2</v>
      </c>
      <c r="AN12" s="179">
        <f t="shared" si="5"/>
        <v>0.11095235724894953</v>
      </c>
      <c r="AO12" s="179">
        <f t="shared" si="6"/>
        <v>7.9251683749249659E-3</v>
      </c>
      <c r="AP12" s="177">
        <f t="shared" si="7"/>
        <v>0.68290068391317282</v>
      </c>
      <c r="AQ12" s="177">
        <f>D12-(1.96*AO12)</f>
        <v>0.66736735389831991</v>
      </c>
      <c r="AR12" s="177">
        <f>D12+(1.96*AO12)</f>
        <v>0.69843401392802573</v>
      </c>
      <c r="AS12" s="177">
        <f t="shared" si="8"/>
        <v>1.5533330014852909E-2</v>
      </c>
      <c r="AT12" s="100"/>
      <c r="AU12" s="171"/>
      <c r="AV12" s="187"/>
      <c r="AW12" s="187"/>
      <c r="AX12" s="178"/>
      <c r="AY12" s="178"/>
      <c r="AZ12" s="178"/>
      <c r="BA12" s="178"/>
      <c r="BB12" s="178"/>
      <c r="BC12" s="178"/>
      <c r="BD12" s="178"/>
      <c r="BE12" s="100"/>
      <c r="BF12" s="188">
        <f>SUM('[1]Loadings resolved - weighted M'!I42,'[1]Loadings resolved - weighted M'!N42,'[1]Loadings resolved - weighted M'!S42,'[1]Loadings resolved - weighted M'!X42,'[1]Loadings resolved - weighted M'!AC42,'[1]Loadings resolved - weighted M'!AH42,'[1]Loadings resolved - weighted M'!AM42,'[1]Loadings resolved - weighted M'!AR42,'[1]Loadings resolved - weighted M'!AW42,'[1]Loadings resolved - weighted M'!BB42,'[1]Loadings resolved - weighted M'!BG42,'[1]Loadings resolved - weighted M'!BL42,'[1]Loadings resolved - weighted M'!BQ42,'[1]Loadings resolved - weighted M'!BV42)</f>
        <v>414.5162823068689</v>
      </c>
      <c r="BG12" s="189"/>
      <c r="BH12" s="189"/>
      <c r="BI12" s="181"/>
      <c r="BJ12" s="181"/>
      <c r="BK12" s="181"/>
      <c r="BL12" s="181"/>
      <c r="BM12" s="181"/>
      <c r="BN12" s="181"/>
      <c r="BO12" s="181"/>
    </row>
    <row r="13" spans="1:68">
      <c r="A13" s="180">
        <v>9</v>
      </c>
      <c r="B13" s="180" t="s">
        <v>240</v>
      </c>
      <c r="C13" s="180"/>
      <c r="D13" s="172">
        <f>SUM('[1]Loadings resolved - weighted M'!G13*'[1]Loadings resolved - weighted M'!J13,'[1]Loadings resolved - weighted M'!L13*'[1]Loadings resolved - weighted M'!O13,'[1]Loadings resolved - weighted M'!Q13*'[1]Loadings resolved - weighted M'!T13,'[1]Loadings resolved - weighted M'!V13*'[1]Loadings resolved - weighted M'!Y13,'[1]Loadings resolved - weighted M'!AA13*'[1]Loadings resolved - weighted M'!AD13,'[1]Loadings resolved - weighted M'!AF13*'[1]Loadings resolved - weighted M'!AI13,'[1]Loadings resolved - weighted M'!AK13*'[1]Loadings resolved - weighted M'!AN13,'[1]Loadings resolved - weighted M'!AP13*'[1]Loadings resolved - weighted M'!AS13,'[1]Loadings resolved - weighted M'!AU13*'[1]Loadings resolved - weighted M'!AX13,'[1]Loadings resolved - weighted M'!AZ13*'[1]Loadings resolved - weighted M'!BC13,'[1]Loadings resolved - weighted M'!BE13*'[1]Loadings resolved - weighted M'!BH13,'[1]Loadings resolved - weighted M'!BJ13*'[1]Loadings resolved - weighted M'!BM13,'[1]Loadings resolved - weighted M'!BO13*'[1]Loadings resolved - weighted M'!BR13,'[1]Loadings resolved - weighted M'!BT13*'[1]Loadings resolved - weighted M'!BW13)/G13</f>
        <v>0.63360303300624432</v>
      </c>
      <c r="E13" s="174"/>
      <c r="F13" s="204">
        <f>SUM('[1]Loadings resolved - weighted M'!I13*'[1]Loadings resolved - weighted M'!J13,'[1]Loadings resolved - weighted M'!N13*'[1]Loadings resolved - weighted M'!O13,'[1]Loadings resolved - weighted M'!S13*'[1]Loadings resolved - weighted M'!T13,'[1]Loadings resolved - weighted M'!X13*'[1]Loadings resolved - weighted M'!Y13,'[1]Loadings resolved - weighted M'!AC13*'[1]Loadings resolved - weighted M'!AD13,'[1]Loadings resolved - weighted M'!AH13*'[1]Loadings resolved - weighted M'!AI13,'[1]Loadings resolved - weighted M'!AM13*'[1]Loadings resolved - weighted M'!AN13,'[1]Loadings resolved - weighted M'!AR13*'[1]Loadings resolved - weighted M'!AS13,'[1]Loadings resolved - weighted M'!AW13*'[1]Loadings resolved - weighted M'!AX13,'[1]Loadings resolved - weighted M'!BB13*'[1]Loadings resolved - weighted M'!BC13,'[1]Loadings resolved - weighted M'!BG13*'[1]Loadings resolved - weighted M'!BH13,'[1]Loadings resolved - weighted M'!BL13*'[1]Loadings resolved - weighted M'!BM13,'[1]Loadings resolved - weighted M'!BQ13*'[1]Loadings resolved - weighted M'!BR13,'[1]Loadings resolved - weighted M'!BV13*'[1]Loadings resolved - weighted M'!BW13)/'Weighted means, CIs, summary'!G13</f>
        <v>0.4998599464763604</v>
      </c>
      <c r="G13" s="175">
        <f>G12</f>
        <v>6726</v>
      </c>
      <c r="H13" s="175"/>
      <c r="L13" s="177">
        <f>MIN('[1]Loadings resolved - weighted M'!G13,'[1]Loadings resolved - weighted M'!L13,'[1]Loadings resolved - weighted M'!Q13,'[1]Loadings resolved - weighted M'!V13,'[1]Loadings resolved - weighted M'!AA13,'[1]Loadings resolved - weighted M'!AF13,'[1]Loadings resolved - weighted M'!AK13,'[1]Loadings resolved - weighted M'!AP13,'[1]Loadings resolved - weighted M'!AU13,'[1]Loadings resolved - weighted M'!AZ13,'[1]Loadings resolved - weighted M'!BE13,'[1]Loadings resolved - weighted M'!BJ13,'[1]Loadings resolved - weighted M'!BO13,'[1]Loadings resolved - weighted M'!BT13)</f>
        <v>0.45</v>
      </c>
      <c r="M13" s="100"/>
      <c r="N13" s="181">
        <f>MIN('[1]Loadings resolved - weighted M'!I13,'[1]Loadings resolved - weighted M'!N13,'[1]Loadings resolved - weighted M'!S13,'[1]Loadings resolved - weighted M'!X13,'[1]Loadings resolved - weighted M'!AC13,'[1]Loadings resolved - weighted M'!AH13,'[1]Loadings resolved - weighted M'!AM13,'[1]Loadings resolved - weighted M'!AR13,'[1]Loadings resolved - weighted M'!AW13,'[1]Loadings resolved - weighted M'!BB13,'[1]Loadings resolved - weighted M'!BG13,'[1]Loadings resolved - weighted M'!BL13,'[1]Loadings resolved - weighted M'!BQ13,'[1]Loadings resolved - weighted M'!BV13)</f>
        <v>0.21</v>
      </c>
      <c r="Q13" s="177">
        <f>MAX('[1]Loadings resolved - weighted M'!G13,'[1]Loadings resolved - weighted M'!L13,'[1]Loadings resolved - weighted M'!Q13,'[1]Loadings resolved - weighted M'!V13,'[1]Loadings resolved - weighted M'!AA13,'[1]Loadings resolved - weighted M'!AF13,'[1]Loadings resolved - weighted M'!AK13,'[1]Loadings resolved - weighted M'!AP13,'[1]Loadings resolved - weighted M'!AU13,'[1]Loadings resolved - weighted M'!AZ13,'[1]Loadings resolved - weighted M'!BE13,'[1]Loadings resolved - weighted M'!BJ13,'[1]Loadings resolved - weighted M'!BO13,'[1]Loadings resolved - weighted M'!BT13)</f>
        <v>0.72</v>
      </c>
      <c r="S13" s="181">
        <f>MAX('[1]Loadings resolved - weighted M'!I13,'[1]Loadings resolved - weighted M'!N13,'[1]Loadings resolved - weighted M'!S13,'[1]Loadings resolved - weighted M'!X13,'[1]Loadings resolved - weighted M'!AC13,'[1]Loadings resolved - weighted M'!AH13,'[1]Loadings resolved - weighted M'!AM13,'[1]Loadings resolved - weighted M'!AR13,'[1]Loadings resolved - weighted M'!AW13,'[1]Loadings resolved - weighted M'!BB13,'[1]Loadings resolved - weighted M'!BG13,'[1]Loadings resolved - weighted M'!BL13,'[1]Loadings resolved - weighted M'!BQ13,'[1]Loadings resolved - weighted M'!BV13)</f>
        <v>0.72</v>
      </c>
      <c r="U13" s="177">
        <f t="shared" si="3"/>
        <v>0.26999999999999996</v>
      </c>
      <c r="W13" s="181">
        <f t="shared" si="3"/>
        <v>0.51</v>
      </c>
      <c r="Z13" s="183">
        <f>MEDIAN('[1]Loadings resolved - weighted M'!G13,'[1]Loadings resolved - weighted M'!L13,'[1]Loadings resolved - weighted M'!Q13,'[1]Loadings resolved - weighted M'!V13,'[1]Loadings resolved - weighted M'!AA13,'[1]Loadings resolved - weighted M'!AF13,'[1]Loadings resolved - weighted M'!AK13,'[1]Loadings resolved - weighted M'!AP13,'[1]Loadings resolved - weighted M'!AU13,'[1]Loadings resolved - weighted M'!AZ13,'[1]Loadings resolved - weighted M'!BE13,'[1]Loadings resolved - weighted M'!BJ13,'[1]Loadings resolved - weighted M'!BO13,'[1]Loadings resolved - weighted M'!BT13)</f>
        <v>0.67</v>
      </c>
      <c r="AB13" s="181">
        <f>MEDIAN('[1]Loadings resolved - weighted M'!I13,'[1]Loadings resolved - weighted M'!N13,'[1]Loadings resolved - weighted M'!S13,'[1]Loadings resolved - weighted M'!X13,'[1]Loadings resolved - weighted M'!AC13,'[1]Loadings resolved - weighted M'!AH13,'[1]Loadings resolved - weighted M'!AM13,'[1]Loadings resolved - weighted M'!AR13,'[1]Loadings resolved - weighted M'!AW13,'[1]Loadings resolved - weighted M'!BB13,'[1]Loadings resolved - weighted M'!BG13,'[1]Loadings resolved - weighted M'!BL13,'[1]Loadings resolved - weighted M'!BQ13,'[1]Loadings resolved - weighted M'!BV13)</f>
        <v>0.495</v>
      </c>
      <c r="AC13" s="196"/>
      <c r="AD13" s="100"/>
      <c r="AE13" s="177">
        <f>D13-Z13</f>
        <v>-3.6396966993755719E-2</v>
      </c>
      <c r="AF13" s="100"/>
      <c r="AG13" s="181">
        <f>F13-AB13</f>
        <v>4.8599464763603994E-3</v>
      </c>
      <c r="AH13" s="100"/>
      <c r="AJ13" s="184">
        <f>SUM('[1]Loadings resolved - weighted M'!G43,'[1]Loadings resolved - weighted M'!J43,'[1]Loadings resolved - weighted M'!Q43,'[1]Loadings resolved - weighted M'!V43,'[1]Loadings resolved - weighted M'!AA43,'[1]Loadings resolved - weighted M'!AF43,'[1]Loadings resolved - weighted M'!AK43,'[1]Loadings resolved - weighted M'!AP43,'[1]Loadings resolved - weighted M'!AU43,'[1]Loadings resolved - weighted M'!AZ43,'[1]Loadings resolved - weighted M'!BE43,'[1]Loadings resolved - weighted M'!BJ43,'[1]Loadings resolved - weighted M'!BO43,'[1]Loadings resolved - weighted M'!BT43)</f>
        <v>43.625390524343864</v>
      </c>
      <c r="AK13" s="185">
        <f>SUM('[1]Loadings resolved - weighted M'!J13,'[1]Loadings resolved - weighted M'!O13,'[1]Loadings resolved - weighted M'!T13,'[1]Loadings resolved - weighted M'!Y13,'[1]Loadings resolved - weighted M'!AD13,'[1]Loadings resolved - weighted M'!AI13,'[1]Loadings resolved - weighted M'!AN13,'[1]Loadings resolved - weighted M'!AS13,'[1]Loadings resolved - weighted M'!AX13,'[1]Loadings resolved - weighted M'!BC13,'[1]Loadings resolved - weighted M'!BH13,'[1]Loadings resolved - weighted M'!BM13,'[1]Loadings resolved - weighted M'!BR13,'[1]Loadings resolved - weighted M'!BW13)</f>
        <v>6726</v>
      </c>
      <c r="AL13" s="185">
        <f>COUNT('[1]Loadings resolved - weighted M'!J28,'[1]Loadings resolved - weighted M'!O28,'[1]Loadings resolved - weighted M'!T28,'[1]Loadings resolved - weighted M'!Y28,'[1]Loadings resolved - weighted M'!AD28,'[1]Loadings resolved - weighted M'!AI28,'[1]Loadings resolved - weighted M'!AN28,'[1]Loadings resolved - weighted M'!AS28,'[1]Loadings resolved - weighted M'!AX28,'[1]Loadings resolved - weighted M'!BC28,'[1]Loadings resolved - weighted M'!BM28,'[1]Loadings resolved - weighted M'!BR28,'[1]Loadings resolved - weighted M'!BH28,'[1]Loadings resolved - weighted M'!BW28)</f>
        <v>14</v>
      </c>
      <c r="AM13" s="179">
        <f t="shared" si="4"/>
        <v>6.9850118637298899E-3</v>
      </c>
      <c r="AN13" s="179">
        <f t="shared" si="5"/>
        <v>8.3576383409010288E-2</v>
      </c>
      <c r="AO13" s="179">
        <f t="shared" si="6"/>
        <v>5.9697416720721633E-3</v>
      </c>
      <c r="AP13" s="177">
        <f t="shared" si="7"/>
        <v>0.63360303300624432</v>
      </c>
      <c r="AQ13" s="177">
        <f>D13-(1.96*AO13)</f>
        <v>0.62190233932898287</v>
      </c>
      <c r="AR13" s="177">
        <f>D13+(1.96*AO13)</f>
        <v>0.64530372668350577</v>
      </c>
      <c r="AS13" s="177">
        <f t="shared" si="8"/>
        <v>1.1700693677261453E-2</v>
      </c>
      <c r="AT13" s="100"/>
      <c r="AU13" s="171"/>
      <c r="AV13" s="187"/>
      <c r="AW13" s="187"/>
      <c r="AX13" s="178"/>
      <c r="AY13" s="178"/>
      <c r="AZ13" s="178"/>
      <c r="BA13" s="178"/>
      <c r="BB13" s="178"/>
      <c r="BC13" s="178"/>
      <c r="BD13" s="178"/>
      <c r="BE13" s="100"/>
      <c r="BF13" s="188">
        <f>SUM('[1]Loadings resolved - weighted M'!I43,'[1]Loadings resolved - weighted M'!N43,'[1]Loadings resolved - weighted M'!S43,'[1]Loadings resolved - weighted M'!X43,'[1]Loadings resolved - weighted M'!AC43,'[1]Loadings resolved - weighted M'!AH43,'[1]Loadings resolved - weighted M'!AM43,'[1]Loadings resolved - weighted M'!AR43,'[1]Loadings resolved - weighted M'!AW43,'[1]Loadings resolved - weighted M'!BB43,'[1]Loadings resolved - weighted M'!BG43,'[1]Loadings resolved - weighted M'!BL43,'[1]Loadings resolved - weighted M'!BQ43,'[1]Loadings resolved - weighted M'!BV43)</f>
        <v>162.13381606958075</v>
      </c>
      <c r="BG13" s="189"/>
      <c r="BH13" s="189"/>
      <c r="BI13" s="181"/>
      <c r="BJ13" s="181"/>
      <c r="BK13" s="181"/>
      <c r="BL13" s="181"/>
      <c r="BM13" s="181"/>
      <c r="BN13" s="181"/>
      <c r="BO13" s="181"/>
    </row>
    <row r="14" spans="1:68">
      <c r="A14" s="180">
        <v>10</v>
      </c>
      <c r="B14" s="180" t="s">
        <v>241</v>
      </c>
      <c r="C14" s="180"/>
      <c r="D14" s="172">
        <f>SUM('[1]Loadings resolved - weighted M'!G14*'[1]Loadings resolved - weighted M'!J14,'[1]Loadings resolved - weighted M'!L14*'[1]Loadings resolved - weighted M'!O14,'[1]Loadings resolved - weighted M'!Q14*'[1]Loadings resolved - weighted M'!T14,'[1]Loadings resolved - weighted M'!V14*'[1]Loadings resolved - weighted M'!Y14,'[1]Loadings resolved - weighted M'!AA14*'[1]Loadings resolved - weighted M'!AD14,'[1]Loadings resolved - weighted M'!AF14*'[1]Loadings resolved - weighted M'!AI14,'[1]Loadings resolved - weighted M'!AK14*'[1]Loadings resolved - weighted M'!AN14,'[1]Loadings resolved - weighted M'!AP14*'[1]Loadings resolved - weighted M'!AS14,'[1]Loadings resolved - weighted M'!AU14*'[1]Loadings resolved - weighted M'!AX14,'[1]Loadings resolved - weighted M'!AZ14*'[1]Loadings resolved - weighted M'!BC14,'[1]Loadings resolved - weighted M'!BE14*'[1]Loadings resolved - weighted M'!BH14,'[1]Loadings resolved - weighted M'!BJ14*'[1]Loadings resolved - weighted M'!BM14,'[1]Loadings resolved - weighted M'!BO14*'[1]Loadings resolved - weighted M'!BR14,'[1]Loadings resolved - weighted M'!BT14*'[1]Loadings resolved - weighted M'!BW14)/G14</f>
        <v>0.66214808206958076</v>
      </c>
      <c r="E14" s="174"/>
      <c r="F14" s="204">
        <f>SUM('[1]Loadings resolved - weighted M'!I14*'[1]Loadings resolved - weighted M'!J14,'[1]Loadings resolved - weighted M'!N14*'[1]Loadings resolved - weighted M'!O14,'[1]Loadings resolved - weighted M'!S14*'[1]Loadings resolved - weighted M'!T14,'[1]Loadings resolved - weighted M'!X14*'[1]Loadings resolved - weighted M'!Y14,'[1]Loadings resolved - weighted M'!AC14*'[1]Loadings resolved - weighted M'!AD14,'[1]Loadings resolved - weighted M'!AH14*'[1]Loadings resolved - weighted M'!AI14,'[1]Loadings resolved - weighted M'!AM14*'[1]Loadings resolved - weighted M'!AN14,'[1]Loadings resolved - weighted M'!AR14*'[1]Loadings resolved - weighted M'!AS14,'[1]Loadings resolved - weighted M'!AW14*'[1]Loadings resolved - weighted M'!AX14,'[1]Loadings resolved - weighted M'!BB14*'[1]Loadings resolved - weighted M'!BC14,'[1]Loadings resolved - weighted M'!BG14*'[1]Loadings resolved - weighted M'!BH14,'[1]Loadings resolved - weighted M'!BL14*'[1]Loadings resolved - weighted M'!BM14,'[1]Loadings resolved - weighted M'!BQ14*'[1]Loadings resolved - weighted M'!BR14,'[1]Loadings resolved - weighted M'!BV14*'[1]Loadings resolved - weighted M'!BW14)/'Weighted means, CIs, summary'!G14</f>
        <v>0.43003687184061845</v>
      </c>
      <c r="G14" s="175">
        <f>G13</f>
        <v>6726</v>
      </c>
      <c r="H14" s="175"/>
      <c r="L14" s="177">
        <f>MIN('[1]Loadings resolved - weighted M'!G14,'[1]Loadings resolved - weighted M'!L14,'[1]Loadings resolved - weighted M'!Q14,'[1]Loadings resolved - weighted M'!V14,'[1]Loadings resolved - weighted M'!AA14,'[1]Loadings resolved - weighted M'!AF14,'[1]Loadings resolved - weighted M'!AK14,'[1]Loadings resolved - weighted M'!AP14,'[1]Loadings resolved - weighted M'!AU14,'[1]Loadings resolved - weighted M'!AZ14,'[1]Loadings resolved - weighted M'!BE14,'[1]Loadings resolved - weighted M'!BJ14,'[1]Loadings resolved - weighted M'!BO14,'[1]Loadings resolved - weighted M'!BT14)</f>
        <v>0.47</v>
      </c>
      <c r="M14" s="100"/>
      <c r="N14" s="181">
        <f>MIN('[1]Loadings resolved - weighted M'!I14,'[1]Loadings resolved - weighted M'!N14,'[1]Loadings resolved - weighted M'!S14,'[1]Loadings resolved - weighted M'!X14,'[1]Loadings resolved - weighted M'!AC14,'[1]Loadings resolved - weighted M'!AH14,'[1]Loadings resolved - weighted M'!AM14,'[1]Loadings resolved - weighted M'!AR14,'[1]Loadings resolved - weighted M'!AW14,'[1]Loadings resolved - weighted M'!BB14,'[1]Loadings resolved - weighted M'!BG14,'[1]Loadings resolved - weighted M'!BL14,'[1]Loadings resolved - weighted M'!BQ14,'[1]Loadings resolved - weighted M'!BV14)</f>
        <v>0.2</v>
      </c>
      <c r="Q14" s="177">
        <f>MAX('[1]Loadings resolved - weighted M'!G14,'[1]Loadings resolved - weighted M'!L14,'[1]Loadings resolved - weighted M'!Q14,'[1]Loadings resolved - weighted M'!V14,'[1]Loadings resolved - weighted M'!AA14,'[1]Loadings resolved - weighted M'!AF14,'[1]Loadings resolved - weighted M'!AK14,'[1]Loadings resolved - weighted M'!AP14,'[1]Loadings resolved - weighted M'!AU14,'[1]Loadings resolved - weighted M'!AZ14,'[1]Loadings resolved - weighted M'!BE14,'[1]Loadings resolved - weighted M'!BJ14,'[1]Loadings resolved - weighted M'!BO14,'[1]Loadings resolved - weighted M'!BT14)</f>
        <v>0.79</v>
      </c>
      <c r="S14" s="181">
        <f>MAX('[1]Loadings resolved - weighted M'!I14,'[1]Loadings resolved - weighted M'!N14,'[1]Loadings resolved - weighted M'!S14,'[1]Loadings resolved - weighted M'!X14,'[1]Loadings resolved - weighted M'!AC14,'[1]Loadings resolved - weighted M'!AH14,'[1]Loadings resolved - weighted M'!AM14,'[1]Loadings resolved - weighted M'!AR14,'[1]Loadings resolved - weighted M'!AW14,'[1]Loadings resolved - weighted M'!BB14,'[1]Loadings resolved - weighted M'!BG14,'[1]Loadings resolved - weighted M'!BL14,'[1]Loadings resolved - weighted M'!BQ14,'[1]Loadings resolved - weighted M'!BV14)</f>
        <v>0.6</v>
      </c>
      <c r="U14" s="177">
        <f t="shared" si="3"/>
        <v>0.32000000000000006</v>
      </c>
      <c r="W14" s="181">
        <f t="shared" si="3"/>
        <v>0.39999999999999997</v>
      </c>
      <c r="Z14" s="183">
        <f>MEDIAN('[1]Loadings resolved - weighted M'!G14,'[1]Loadings resolved - weighted M'!L14,'[1]Loadings resolved - weighted M'!Q14,'[1]Loadings resolved - weighted M'!V14,'[1]Loadings resolved - weighted M'!AA14,'[1]Loadings resolved - weighted M'!AF14,'[1]Loadings resolved - weighted M'!AK14,'[1]Loadings resolved - weighted M'!AP14,'[1]Loadings resolved - weighted M'!AU14,'[1]Loadings resolved - weighted M'!AZ14,'[1]Loadings resolved - weighted M'!BE14,'[1]Loadings resolved - weighted M'!BJ14,'[1]Loadings resolved - weighted M'!BO14,'[1]Loadings resolved - weighted M'!BT14)</f>
        <v>0.69499999999999995</v>
      </c>
      <c r="AB14" s="181">
        <f>MEDIAN('[1]Loadings resolved - weighted M'!I14,'[1]Loadings resolved - weighted M'!N14,'[1]Loadings resolved - weighted M'!S14,'[1]Loadings resolved - weighted M'!X14,'[1]Loadings resolved - weighted M'!AC14,'[1]Loadings resolved - weighted M'!AH14,'[1]Loadings resolved - weighted M'!AM14,'[1]Loadings resolved - weighted M'!AR14,'[1]Loadings resolved - weighted M'!AW14,'[1]Loadings resolved - weighted M'!BB14,'[1]Loadings resolved - weighted M'!BG14,'[1]Loadings resolved - weighted M'!BL14,'[1]Loadings resolved - weighted M'!BQ14,'[1]Loadings resolved - weighted M'!BV14)</f>
        <v>0.438</v>
      </c>
      <c r="AC14" s="196"/>
      <c r="AD14" s="100"/>
      <c r="AE14" s="177">
        <f>D14-Z14</f>
        <v>-3.2851917930419194E-2</v>
      </c>
      <c r="AF14" s="100"/>
      <c r="AG14" s="181">
        <f>F14-AB14</f>
        <v>-7.9631281593815495E-3</v>
      </c>
      <c r="AH14" s="100"/>
      <c r="AJ14" s="184">
        <f>SUM('[1]Loadings resolved - weighted M'!G44,'[1]Loadings resolved - weighted M'!J44,'[1]Loadings resolved - weighted M'!Q44,'[1]Loadings resolved - weighted M'!V44,'[1]Loadings resolved - weighted M'!AA44,'[1]Loadings resolved - weighted M'!AF44,'[1]Loadings resolved - weighted M'!AK44,'[1]Loadings resolved - weighted M'!AP44,'[1]Loadings resolved - weighted M'!AU44,'[1]Loadings resolved - weighted M'!AZ44,'[1]Loadings resolved - weighted M'!BE44,'[1]Loadings resolved - weighted M'!BJ44,'[1]Loadings resolved - weighted M'!BO44,'[1]Loadings resolved - weighted M'!BT44)</f>
        <v>47.917155379219686</v>
      </c>
      <c r="AK14" s="185">
        <f>SUM('[1]Loadings resolved - weighted M'!J14,'[1]Loadings resolved - weighted M'!O14,'[1]Loadings resolved - weighted M'!T14,'[1]Loadings resolved - weighted M'!Y14,'[1]Loadings resolved - weighted M'!AD14,'[1]Loadings resolved - weighted M'!AI14,'[1]Loadings resolved - weighted M'!AN14,'[1]Loadings resolved - weighted M'!AS14,'[1]Loadings resolved - weighted M'!AX14,'[1]Loadings resolved - weighted M'!BC14,'[1]Loadings resolved - weighted M'!BH14,'[1]Loadings resolved - weighted M'!BM14,'[1]Loadings resolved - weighted M'!BR14,'[1]Loadings resolved - weighted M'!BW14)</f>
        <v>6726</v>
      </c>
      <c r="AL14" s="185">
        <f>COUNT('[1]Loadings resolved - weighted M'!J29,'[1]Loadings resolved - weighted M'!O29,'[1]Loadings resolved - weighted M'!T29,'[1]Loadings resolved - weighted M'!Y29,'[1]Loadings resolved - weighted M'!AD29,'[1]Loadings resolved - weighted M'!AI29,'[1]Loadings resolved - weighted M'!AN29,'[1]Loadings resolved - weighted M'!AS29,'[1]Loadings resolved - weighted M'!AX29,'[1]Loadings resolved - weighted M'!BC29,'[1]Loadings resolved - weighted M'!BM29,'[1]Loadings resolved - weighted M'!BR29,'[1]Loadings resolved - weighted M'!BH29,'[1]Loadings resolved - weighted M'!BW29)</f>
        <v>14</v>
      </c>
      <c r="AM14" s="179">
        <f t="shared" si="4"/>
        <v>7.6721811490321782E-3</v>
      </c>
      <c r="AN14" s="179">
        <f t="shared" si="5"/>
        <v>8.7590987829982703E-2</v>
      </c>
      <c r="AO14" s="179">
        <f t="shared" si="6"/>
        <v>6.2564991307130502E-3</v>
      </c>
      <c r="AP14" s="177">
        <f t="shared" si="7"/>
        <v>0.66214808206958076</v>
      </c>
      <c r="AQ14" s="177">
        <f>D14-(1.96*AO14)</f>
        <v>0.64988534377338314</v>
      </c>
      <c r="AR14" s="177">
        <f>D14+(1.96*AO14)</f>
        <v>0.67441082036577837</v>
      </c>
      <c r="AS14" s="177">
        <f t="shared" si="8"/>
        <v>1.2262738296197617E-2</v>
      </c>
      <c r="AT14" s="100"/>
      <c r="AU14" s="171"/>
      <c r="AV14" s="187"/>
      <c r="AW14" s="187"/>
      <c r="AX14" s="178"/>
      <c r="AY14" s="178"/>
      <c r="AZ14" s="178"/>
      <c r="BA14" s="178"/>
      <c r="BB14" s="178"/>
      <c r="BC14" s="178"/>
      <c r="BD14" s="178"/>
      <c r="BE14" s="100"/>
      <c r="BF14" s="188">
        <f>SUM('[1]Loadings resolved - weighted M'!I44,'[1]Loadings resolved - weighted M'!N44,'[1]Loadings resolved - weighted M'!S44,'[1]Loadings resolved - weighted M'!X44,'[1]Loadings resolved - weighted M'!AC44,'[1]Loadings resolved - weighted M'!AH44,'[1]Loadings resolved - weighted M'!AM44,'[1]Loadings resolved - weighted M'!AR44,'[1]Loadings resolved - weighted M'!AW44,'[1]Loadings resolved - weighted M'!BB44,'[1]Loadings resolved - weighted M'!BG44,'[1]Loadings resolved - weighted M'!BL44,'[1]Loadings resolved - weighted M'!BQ44,'[1]Loadings resolved - weighted M'!BV44)</f>
        <v>84.093678855783551</v>
      </c>
      <c r="BG14" s="189"/>
      <c r="BH14" s="189"/>
      <c r="BI14" s="181"/>
      <c r="BJ14" s="181"/>
      <c r="BK14" s="181"/>
      <c r="BL14" s="181"/>
      <c r="BM14" s="181"/>
      <c r="BN14" s="181"/>
      <c r="BO14" s="181"/>
    </row>
    <row r="15" spans="1:68">
      <c r="A15" s="180">
        <v>11</v>
      </c>
      <c r="B15" s="180" t="s">
        <v>242</v>
      </c>
      <c r="C15" s="180"/>
      <c r="D15" s="172">
        <f>SUM('[1]Loadings resolved - weighted M'!G15*'[1]Loadings resolved - weighted M'!J15,'[1]Loadings resolved - weighted M'!L15*'[1]Loadings resolved - weighted M'!O15,'[1]Loadings resolved - weighted M'!Q15*'[1]Loadings resolved - weighted M'!T15,'[1]Loadings resolved - weighted M'!V15*'[1]Loadings resolved - weighted M'!Y15,'[1]Loadings resolved - weighted M'!AA15*'[1]Loadings resolved - weighted M'!AD15,'[1]Loadings resolved - weighted M'!AF15*'[1]Loadings resolved - weighted M'!AI15,'[1]Loadings resolved - weighted M'!AK15*'[1]Loadings resolved - weighted M'!AN15,'[1]Loadings resolved - weighted M'!AP15*'[1]Loadings resolved - weighted M'!AS15,'[1]Loadings resolved - weighted M'!AU15*'[1]Loadings resolved - weighted M'!AX15,'[1]Loadings resolved - weighted M'!AZ15*'[1]Loadings resolved - weighted M'!BC15,'[1]Loadings resolved - weighted M'!BE15*'[1]Loadings resolved - weighted M'!BH15,'[1]Loadings resolved - weighted M'!BJ15*'[1]Loadings resolved - weighted M'!BM15,'[1]Loadings resolved - weighted M'!BO15*'[1]Loadings resolved - weighted M'!BR15,'[1]Loadings resolved - weighted M'!BT15*'[1]Loadings resolved - weighted M'!BW15)/G15</f>
        <v>0.60983199524234322</v>
      </c>
      <c r="E15" s="174"/>
      <c r="F15" s="204">
        <f>SUM('[1]Loadings resolved - weighted M'!I15*'[1]Loadings resolved - weighted M'!J15,'[1]Loadings resolved - weighted M'!N15*'[1]Loadings resolved - weighted M'!O15,'[1]Loadings resolved - weighted M'!S15*'[1]Loadings resolved - weighted M'!T15,'[1]Loadings resolved - weighted M'!X15*'[1]Loadings resolved - weighted M'!Y15,'[1]Loadings resolved - weighted M'!AC15*'[1]Loadings resolved - weighted M'!AD15,'[1]Loadings resolved - weighted M'!AH15*'[1]Loadings resolved - weighted M'!AI15,'[1]Loadings resolved - weighted M'!AM15*'[1]Loadings resolved - weighted M'!AN15,'[1]Loadings resolved - weighted M'!AR15*'[1]Loadings resolved - weighted M'!AS15,'[1]Loadings resolved - weighted M'!AW15*'[1]Loadings resolved - weighted M'!AX15,'[1]Loadings resolved - weighted M'!BB15*'[1]Loadings resolved - weighted M'!BC15,'[1]Loadings resolved - weighted M'!BG15*'[1]Loadings resolved - weighted M'!BH15,'[1]Loadings resolved - weighted M'!BL15*'[1]Loadings resolved - weighted M'!BM15,'[1]Loadings resolved - weighted M'!BQ15*'[1]Loadings resolved - weighted M'!BR15,'[1]Loadings resolved - weighted M'!BV15*'[1]Loadings resolved - weighted M'!BW15)/'Weighted means, CIs, summary'!G15</f>
        <v>0.39899197145405879</v>
      </c>
      <c r="G15" s="175">
        <f>G14</f>
        <v>6726</v>
      </c>
      <c r="H15" s="175"/>
      <c r="L15" s="177">
        <f>MIN('[1]Loadings resolved - weighted M'!G15,'[1]Loadings resolved - weighted M'!L15,'[1]Loadings resolved - weighted M'!Q15,'[1]Loadings resolved - weighted M'!V15,'[1]Loadings resolved - weighted M'!AA15,'[1]Loadings resolved - weighted M'!AF15,'[1]Loadings resolved - weighted M'!AK15,'[1]Loadings resolved - weighted M'!AP15,'[1]Loadings resolved - weighted M'!AU15,'[1]Loadings resolved - weighted M'!AZ15,'[1]Loadings resolved - weighted M'!BE15,'[1]Loadings resolved - weighted M'!BJ15,'[1]Loadings resolved - weighted M'!BO15,'[1]Loadings resolved - weighted M'!BT15)</f>
        <v>0.4</v>
      </c>
      <c r="M15" s="100"/>
      <c r="N15" s="181">
        <f>MIN('[1]Loadings resolved - weighted M'!I15,'[1]Loadings resolved - weighted M'!N15,'[1]Loadings resolved - weighted M'!S15,'[1]Loadings resolved - weighted M'!X15,'[1]Loadings resolved - weighted M'!AC15,'[1]Loadings resolved - weighted M'!AH15,'[1]Loadings resolved - weighted M'!AM15,'[1]Loadings resolved - weighted M'!AR15,'[1]Loadings resolved - weighted M'!AW15,'[1]Loadings resolved - weighted M'!BB15,'[1]Loadings resolved - weighted M'!BG15,'[1]Loadings resolved - weighted M'!BL15,'[1]Loadings resolved - weighted M'!BQ15,'[1]Loadings resolved - weighted M'!BV15)</f>
        <v>0.22</v>
      </c>
      <c r="Q15" s="177">
        <f>MAX('[1]Loadings resolved - weighted M'!G15,'[1]Loadings resolved - weighted M'!L15,'[1]Loadings resolved - weighted M'!Q15,'[1]Loadings resolved - weighted M'!V15,'[1]Loadings resolved - weighted M'!AA15,'[1]Loadings resolved - weighted M'!AF15,'[1]Loadings resolved - weighted M'!AK15,'[1]Loadings resolved - weighted M'!AP15,'[1]Loadings resolved - weighted M'!AU15,'[1]Loadings resolved - weighted M'!AZ15,'[1]Loadings resolved - weighted M'!BE15,'[1]Loadings resolved - weighted M'!BJ15,'[1]Loadings resolved - weighted M'!BO15,'[1]Loadings resolved - weighted M'!BT15)</f>
        <v>0.74</v>
      </c>
      <c r="S15" s="181">
        <f>MAX('[1]Loadings resolved - weighted M'!I15,'[1]Loadings resolved - weighted M'!N15,'[1]Loadings resolved - weighted M'!S15,'[1]Loadings resolved - weighted M'!X15,'[1]Loadings resolved - weighted M'!AC15,'[1]Loadings resolved - weighted M'!AH15,'[1]Loadings resolved - weighted M'!AM15,'[1]Loadings resolved - weighted M'!AR15,'[1]Loadings resolved - weighted M'!AW15,'[1]Loadings resolved - weighted M'!BB15,'[1]Loadings resolved - weighted M'!BG15,'[1]Loadings resolved - weighted M'!BL15,'[1]Loadings resolved - weighted M'!BQ15,'[1]Loadings resolved - weighted M'!BV15)</f>
        <v>0.59</v>
      </c>
      <c r="U15" s="177">
        <f t="shared" si="3"/>
        <v>0.33999999999999997</v>
      </c>
      <c r="W15" s="181">
        <f t="shared" si="3"/>
        <v>0.37</v>
      </c>
      <c r="Z15" s="183">
        <f>MEDIAN('[1]Loadings resolved - weighted M'!G15,'[1]Loadings resolved - weighted M'!L15,'[1]Loadings resolved - weighted M'!Q15,'[1]Loadings resolved - weighted M'!V15,'[1]Loadings resolved - weighted M'!AA15,'[1]Loadings resolved - weighted M'!AF15,'[1]Loadings resolved - weighted M'!AK15,'[1]Loadings resolved - weighted M'!AP15,'[1]Loadings resolved - weighted M'!AU15,'[1]Loadings resolved - weighted M'!AZ15,'[1]Loadings resolved - weighted M'!BE15,'[1]Loadings resolved - weighted M'!BJ15,'[1]Loadings resolved - weighted M'!BO15,'[1]Loadings resolved - weighted M'!BT15)</f>
        <v>0.67</v>
      </c>
      <c r="AB15" s="181">
        <f>MEDIAN('[1]Loadings resolved - weighted M'!I15,'[1]Loadings resolved - weighted M'!N15,'[1]Loadings resolved - weighted M'!S15,'[1]Loadings resolved - weighted M'!X15,'[1]Loadings resolved - weighted M'!AC15,'[1]Loadings resolved - weighted M'!AH15,'[1]Loadings resolved - weighted M'!AM15,'[1]Loadings resolved - weighted M'!AR15,'[1]Loadings resolved - weighted M'!AW15,'[1]Loadings resolved - weighted M'!BB15,'[1]Loadings resolved - weighted M'!BG15,'[1]Loadings resolved - weighted M'!BL15,'[1]Loadings resolved - weighted M'!BQ15,'[1]Loadings resolved - weighted M'!BV15)</f>
        <v>0.36499999999999999</v>
      </c>
      <c r="AC15" s="196"/>
      <c r="AD15" s="100"/>
      <c r="AE15" s="177">
        <f>D15-Z15</f>
        <v>-6.0168004757656823E-2</v>
      </c>
      <c r="AF15" s="100"/>
      <c r="AG15" s="181">
        <f>F15-AB15</f>
        <v>3.39919714540588E-2</v>
      </c>
      <c r="AH15" s="100"/>
      <c r="AJ15" s="184">
        <f>SUM('[1]Loadings resolved - weighted M'!G45,'[1]Loadings resolved - weighted M'!J45,'[1]Loadings resolved - weighted M'!Q45,'[1]Loadings resolved - weighted M'!V45,'[1]Loadings resolved - weighted M'!AA45,'[1]Loadings resolved - weighted M'!AF45,'[1]Loadings resolved - weighted M'!AK45,'[1]Loadings resolved - weighted M'!AP45,'[1]Loadings resolved - weighted M'!AU45,'[1]Loadings resolved - weighted M'!AZ45,'[1]Loadings resolved - weighted M'!BE45,'[1]Loadings resolved - weighted M'!BJ45,'[1]Loadings resolved - weighted M'!BO45,'[1]Loadings resolved - weighted M'!BT45)</f>
        <v>77.283973846972458</v>
      </c>
      <c r="AK15" s="185">
        <f>SUM('[1]Loadings resolved - weighted M'!J15,'[1]Loadings resolved - weighted M'!O15,'[1]Loadings resolved - weighted M'!T15,'[1]Loadings resolved - weighted M'!Y15,'[1]Loadings resolved - weighted M'!AD15,'[1]Loadings resolved - weighted M'!AI15,'[1]Loadings resolved - weighted M'!AN15,'[1]Loadings resolved - weighted M'!AS15,'[1]Loadings resolved - weighted M'!AX15,'[1]Loadings resolved - weighted M'!BC15,'[1]Loadings resolved - weighted M'!BH15,'[1]Loadings resolved - weighted M'!BM15,'[1]Loadings resolved - weighted M'!BR15,'[1]Loadings resolved - weighted M'!BW15)</f>
        <v>6726</v>
      </c>
      <c r="AL15" s="185">
        <f>COUNT('[1]Loadings resolved - weighted M'!J30,'[1]Loadings resolved - weighted M'!O30,'[1]Loadings resolved - weighted M'!T30,'[1]Loadings resolved - weighted M'!Y30,'[1]Loadings resolved - weighted M'!AD30,'[1]Loadings resolved - weighted M'!AI30,'[1]Loadings resolved - weighted M'!AN30,'[1]Loadings resolved - weighted M'!AS30,'[1]Loadings resolved - weighted M'!AX30,'[1]Loadings resolved - weighted M'!BC30,'[1]Loadings resolved - weighted M'!BM30,'[1]Loadings resolved - weighted M'!BR30,'[1]Loadings resolved - weighted M'!BH30,'[1]Loadings resolved - weighted M'!BW30)</f>
        <v>14</v>
      </c>
      <c r="AM15" s="179">
        <f t="shared" si="4"/>
        <v>1.2374203822795747E-2</v>
      </c>
      <c r="AN15" s="179">
        <f t="shared" si="5"/>
        <v>0.11123939869846361</v>
      </c>
      <c r="AO15" s="179">
        <f t="shared" si="6"/>
        <v>7.9456713356045438E-3</v>
      </c>
      <c r="AP15" s="177">
        <f t="shared" si="7"/>
        <v>0.60983199524234322</v>
      </c>
      <c r="AQ15" s="177">
        <f>D15-(1.96*AO15)</f>
        <v>0.59425847942455834</v>
      </c>
      <c r="AR15" s="177">
        <f>D15+(1.96*AO15)</f>
        <v>0.62540551106012809</v>
      </c>
      <c r="AS15" s="177">
        <f t="shared" si="8"/>
        <v>1.5573515817784878E-2</v>
      </c>
      <c r="AT15" s="100"/>
      <c r="AU15" s="171"/>
      <c r="AV15" s="187"/>
      <c r="AW15" s="187"/>
      <c r="AX15" s="178"/>
      <c r="AY15" s="178"/>
      <c r="AZ15" s="178"/>
      <c r="BA15" s="178"/>
      <c r="BB15" s="178"/>
      <c r="BC15" s="178"/>
      <c r="BD15" s="178"/>
      <c r="BE15" s="100"/>
      <c r="BF15" s="188">
        <f>SUM('[1]Loadings resolved - weighted M'!I45,'[1]Loadings resolved - weighted M'!N45,'[1]Loadings resolved - weighted M'!S45,'[1]Loadings resolved - weighted M'!X45,'[1]Loadings resolved - weighted M'!AC45,'[1]Loadings resolved - weighted M'!AH45,'[1]Loadings resolved - weighted M'!AM45,'[1]Loadings resolved - weighted M'!AR45,'[1]Loadings resolved - weighted M'!AW45,'[1]Loadings resolved - weighted M'!BB45,'[1]Loadings resolved - weighted M'!BG45,'[1]Loadings resolved - weighted M'!BL45,'[1]Loadings resolved - weighted M'!BQ45,'[1]Loadings resolved - weighted M'!BV45)</f>
        <v>91.752765566458493</v>
      </c>
      <c r="BG15" s="189"/>
      <c r="BH15" s="189"/>
      <c r="BI15" s="181"/>
      <c r="BJ15" s="181"/>
      <c r="BK15" s="181"/>
      <c r="BL15" s="181"/>
      <c r="BM15" s="181"/>
      <c r="BN15" s="181"/>
      <c r="BO15" s="181"/>
    </row>
    <row r="16" spans="1:68">
      <c r="A16" s="180">
        <v>12</v>
      </c>
      <c r="B16" s="180" t="s">
        <v>243</v>
      </c>
      <c r="C16" s="180"/>
      <c r="D16" s="172">
        <f>SUM('[1]Loadings resolved - weighted M'!G16*'[1]Loadings resolved - weighted M'!J16,'[1]Loadings resolved - weighted M'!L16*'[1]Loadings resolved - weighted M'!O16,'[1]Loadings resolved - weighted M'!Q16*'[1]Loadings resolved - weighted M'!T16,'[1]Loadings resolved - weighted M'!V16*'[1]Loadings resolved - weighted M'!Y16,'[1]Loadings resolved - weighted M'!AA16*'[1]Loadings resolved - weighted M'!AD16,'[1]Loadings resolved - weighted M'!AF16*'[1]Loadings resolved - weighted M'!AI16,'[1]Loadings resolved - weighted M'!AK16*'[1]Loadings resolved - weighted M'!AN16,'[1]Loadings resolved - weighted M'!AP16*'[1]Loadings resolved - weighted M'!AS16,'[1]Loadings resolved - weighted M'!AU16*'[1]Loadings resolved - weighted M'!AX16,'[1]Loadings resolved - weighted M'!AZ16*'[1]Loadings resolved - weighted M'!BC16,'[1]Loadings resolved - weighted M'!BE16*'[1]Loadings resolved - weighted M'!BH16,'[1]Loadings resolved - weighted M'!BJ16*'[1]Loadings resolved - weighted M'!BM16,'[1]Loadings resolved - weighted M'!BO16*'[1]Loadings resolved - weighted M'!BR16,'[1]Loadings resolved - weighted M'!BT16*'[1]Loadings resolved - weighted M'!BW16)/G16</f>
        <v>0.6975340469818615</v>
      </c>
      <c r="E16" s="174"/>
      <c r="F16" s="204">
        <f>SUM('[1]Loadings resolved - weighted M'!I16*'[1]Loadings resolved - weighted M'!J16,'[1]Loadings resolved - weighted M'!N16*'[1]Loadings resolved - weighted M'!O16,'[1]Loadings resolved - weighted M'!S16*'[1]Loadings resolved - weighted M'!T16,'[1]Loadings resolved - weighted M'!X16*'[1]Loadings resolved - weighted M'!Y16,'[1]Loadings resolved - weighted M'!AC16*'[1]Loadings resolved - weighted M'!AD16,'[1]Loadings resolved - weighted M'!AH16*'[1]Loadings resolved - weighted M'!AI16,'[1]Loadings resolved - weighted M'!AM16*'[1]Loadings resolved - weighted M'!AN16,'[1]Loadings resolved - weighted M'!AR16*'[1]Loadings resolved - weighted M'!AS16,'[1]Loadings resolved - weighted M'!AW16*'[1]Loadings resolved - weighted M'!AX16,'[1]Loadings resolved - weighted M'!BB16*'[1]Loadings resolved - weighted M'!BC16,'[1]Loadings resolved - weighted M'!BG16*'[1]Loadings resolved - weighted M'!BH16,'[1]Loadings resolved - weighted M'!BL16*'[1]Loadings resolved - weighted M'!BM16,'[1]Loadings resolved - weighted M'!BQ16*'[1]Loadings resolved - weighted M'!BR16,'[1]Loadings resolved - weighted M'!BV16*'[1]Loadings resolved - weighted M'!BW16)/'Weighted means, CIs, summary'!G16</f>
        <v>0.1974659530181386</v>
      </c>
      <c r="G16" s="175">
        <f>G15</f>
        <v>6726</v>
      </c>
      <c r="H16" s="175"/>
      <c r="L16" s="177">
        <f>MIN('[1]Loadings resolved - weighted M'!G16,'[1]Loadings resolved - weighted M'!L16,'[1]Loadings resolved - weighted M'!Q16,'[1]Loadings resolved - weighted M'!V16,'[1]Loadings resolved - weighted M'!AA16,'[1]Loadings resolved - weighted M'!AF16,'[1]Loadings resolved - weighted M'!AK16,'[1]Loadings resolved - weighted M'!AP16,'[1]Loadings resolved - weighted M'!AU16,'[1]Loadings resolved - weighted M'!AZ16,'[1]Loadings resolved - weighted M'!BE16,'[1]Loadings resolved - weighted M'!BJ16,'[1]Loadings resolved - weighted M'!BO16,'[1]Loadings resolved - weighted M'!BT16)</f>
        <v>0.52</v>
      </c>
      <c r="M16" s="100"/>
      <c r="N16" s="181">
        <f>MIN('[1]Loadings resolved - weighted M'!I16,'[1]Loadings resolved - weighted M'!N16,'[1]Loadings resolved - weighted M'!S16,'[1]Loadings resolved - weighted M'!X16,'[1]Loadings resolved - weighted M'!AC16,'[1]Loadings resolved - weighted M'!AH16,'[1]Loadings resolved - weighted M'!AM16,'[1]Loadings resolved - weighted M'!AR16,'[1]Loadings resolved - weighted M'!AW16,'[1]Loadings resolved - weighted M'!BB16,'[1]Loadings resolved - weighted M'!BG16,'[1]Loadings resolved - weighted M'!BL16,'[1]Loadings resolved - weighted M'!BQ16,'[1]Loadings resolved - weighted M'!BV16)</f>
        <v>-0.06</v>
      </c>
      <c r="Q16" s="177">
        <f>MAX('[1]Loadings resolved - weighted M'!G16,'[1]Loadings resolved - weighted M'!L16,'[1]Loadings resolved - weighted M'!Q16,'[1]Loadings resolved - weighted M'!V16,'[1]Loadings resolved - weighted M'!AA16,'[1]Loadings resolved - weighted M'!AF16,'[1]Loadings resolved - weighted M'!AK16,'[1]Loadings resolved - weighted M'!AP16,'[1]Loadings resolved - weighted M'!AU16,'[1]Loadings resolved - weighted M'!AZ16,'[1]Loadings resolved - weighted M'!BE16,'[1]Loadings resolved - weighted M'!BJ16,'[1]Loadings resolved - weighted M'!BO16,'[1]Loadings resolved - weighted M'!BT16)</f>
        <v>0.82</v>
      </c>
      <c r="S16" s="181">
        <f>MAX('[1]Loadings resolved - weighted M'!I16,'[1]Loadings resolved - weighted M'!N16,'[1]Loadings resolved - weighted M'!S16,'[1]Loadings resolved - weighted M'!X16,'[1]Loadings resolved - weighted M'!AC16,'[1]Loadings resolved - weighted M'!AH16,'[1]Loadings resolved - weighted M'!AM16,'[1]Loadings resolved - weighted M'!AR16,'[1]Loadings resolved - weighted M'!AW16,'[1]Loadings resolved - weighted M'!BB16,'[1]Loadings resolved - weighted M'!BG16,'[1]Loadings resolved - weighted M'!BL16,'[1]Loadings resolved - weighted M'!BQ16,'[1]Loadings resolved - weighted M'!BV16)</f>
        <v>0.39200000000000002</v>
      </c>
      <c r="U16" s="177">
        <f t="shared" si="3"/>
        <v>0.29999999999999993</v>
      </c>
      <c r="W16" s="181">
        <f t="shared" si="3"/>
        <v>0.45200000000000001</v>
      </c>
      <c r="Z16" s="183">
        <f>MEDIAN('[1]Loadings resolved - weighted M'!G16,'[1]Loadings resolved - weighted M'!L16,'[1]Loadings resolved - weighted M'!Q16,'[1]Loadings resolved - weighted M'!V16,'[1]Loadings resolved - weighted M'!AA16,'[1]Loadings resolved - weighted M'!AF16,'[1]Loadings resolved - weighted M'!AK16,'[1]Loadings resolved - weighted M'!AP16,'[1]Loadings resolved - weighted M'!AU16,'[1]Loadings resolved - weighted M'!AZ16,'[1]Loadings resolved - weighted M'!BE16,'[1]Loadings resolved - weighted M'!BJ16,'[1]Loadings resolved - weighted M'!BO16,'[1]Loadings resolved - weighted M'!BT16)</f>
        <v>0.73499999999999999</v>
      </c>
      <c r="AB16" s="181">
        <f>MEDIAN('[1]Loadings resolved - weighted M'!I16,'[1]Loadings resolved - weighted M'!N16,'[1]Loadings resolved - weighted M'!S16,'[1]Loadings resolved - weighted M'!X16,'[1]Loadings resolved - weighted M'!AC16,'[1]Loadings resolved - weighted M'!AH16,'[1]Loadings resolved - weighted M'!AM16,'[1]Loadings resolved - weighted M'!AR16,'[1]Loadings resolved - weighted M'!AW16,'[1]Loadings resolved - weighted M'!BB16,'[1]Loadings resolved - weighted M'!BG16,'[1]Loadings resolved - weighted M'!BL16,'[1]Loadings resolved - weighted M'!BQ16,'[1]Loadings resolved - weighted M'!BV16)</f>
        <v>0.21</v>
      </c>
      <c r="AC16" s="196"/>
      <c r="AD16" s="100"/>
      <c r="AE16" s="177">
        <f>D16-Z16</f>
        <v>-3.7465953018138487E-2</v>
      </c>
      <c r="AF16" s="100"/>
      <c r="AG16" s="181">
        <f>F16-AB16</f>
        <v>-1.2534046981861391E-2</v>
      </c>
      <c r="AH16" s="100"/>
      <c r="AJ16" s="184">
        <f>SUM('[1]Loadings resolved - weighted M'!G46,'[1]Loadings resolved - weighted M'!J46,'[1]Loadings resolved - weighted M'!Q46,'[1]Loadings resolved - weighted M'!V46,'[1]Loadings resolved - weighted M'!AA46,'[1]Loadings resolved - weighted M'!AF46,'[1]Loadings resolved - weighted M'!AK46,'[1]Loadings resolved - weighted M'!AP46,'[1]Loadings resolved - weighted M'!AU46,'[1]Loadings resolved - weighted M'!AZ46,'[1]Loadings resolved - weighted M'!BE46,'[1]Loadings resolved - weighted M'!BJ46,'[1]Loadings resolved - weighted M'!BO46,'[1]Loadings resolved - weighted M'!BT46)</f>
        <v>64.895491161306495</v>
      </c>
      <c r="AK16" s="185">
        <f>SUM('[1]Loadings resolved - weighted M'!J16,'[1]Loadings resolved - weighted M'!O16,'[1]Loadings resolved - weighted M'!T16,'[1]Loadings resolved - weighted M'!Y16,'[1]Loadings resolved - weighted M'!AD16,'[1]Loadings resolved - weighted M'!AI16,'[1]Loadings resolved - weighted M'!AN16,'[1]Loadings resolved - weighted M'!AS16,'[1]Loadings resolved - weighted M'!AX16,'[1]Loadings resolved - weighted M'!BC16,'[1]Loadings resolved - weighted M'!BH16,'[1]Loadings resolved - weighted M'!BM16,'[1]Loadings resolved - weighted M'!BR16,'[1]Loadings resolved - weighted M'!BW16)</f>
        <v>6726</v>
      </c>
      <c r="AL16" s="185">
        <f>COUNT('[1]Loadings resolved - weighted M'!J31,'[1]Loadings resolved - weighted M'!O31,'[1]Loadings resolved - weighted M'!T31,'[1]Loadings resolved - weighted M'!Y31,'[1]Loadings resolved - weighted M'!AD31,'[1]Loadings resolved - weighted M'!AI31,'[1]Loadings resolved - weighted M'!AN31,'[1]Loadings resolved - weighted M'!AS31,'[1]Loadings resolved - weighted M'!AX31,'[1]Loadings resolved - weighted M'!BC31,'[1]Loadings resolved - weighted M'!BM31,'[1]Loadings resolved - weighted M'!BR31,'[1]Loadings resolved - weighted M'!BH31,'[1]Loadings resolved - weighted M'!BW31)</f>
        <v>14</v>
      </c>
      <c r="AM16" s="179">
        <f t="shared" si="4"/>
        <v>1.0390641097215067E-2</v>
      </c>
      <c r="AN16" s="179">
        <f t="shared" si="5"/>
        <v>0.10193449414803149</v>
      </c>
      <c r="AO16" s="179">
        <f t="shared" si="6"/>
        <v>7.2810352962879637E-3</v>
      </c>
      <c r="AP16" s="177">
        <f t="shared" si="7"/>
        <v>0.6975340469818615</v>
      </c>
      <c r="AQ16" s="177">
        <f>D16-(1.96*AO16)</f>
        <v>0.68326321780113708</v>
      </c>
      <c r="AR16" s="177">
        <f>D16+(1.96*AO16)</f>
        <v>0.71180487616258592</v>
      </c>
      <c r="AS16" s="177">
        <f t="shared" si="8"/>
        <v>1.427082918072442E-2</v>
      </c>
      <c r="AT16" s="100"/>
      <c r="AU16" s="171"/>
      <c r="AV16" s="187"/>
      <c r="AW16" s="187"/>
      <c r="AX16" s="178"/>
      <c r="AY16" s="178"/>
      <c r="AZ16" s="178"/>
      <c r="BA16" s="178"/>
      <c r="BB16" s="178"/>
      <c r="BC16" s="178"/>
      <c r="BD16" s="178"/>
      <c r="BE16" s="100"/>
      <c r="BF16" s="188">
        <f>SUM('[1]Loadings resolved - weighted M'!I46,'[1]Loadings resolved - weighted M'!N46,'[1]Loadings resolved - weighted M'!S46,'[1]Loadings resolved - weighted M'!X46,'[1]Loadings resolved - weighted M'!AC46,'[1]Loadings resolved - weighted M'!AH46,'[1]Loadings resolved - weighted M'!AM46,'[1]Loadings resolved - weighted M'!AR46,'[1]Loadings resolved - weighted M'!AW46,'[1]Loadings resolved - weighted M'!BB46,'[1]Loadings resolved - weighted M'!BG46,'[1]Loadings resolved - weighted M'!BL46,'[1]Loadings resolved - weighted M'!BQ46,'[1]Loadings resolved - weighted M'!BV46)</f>
        <v>142.66232170324116</v>
      </c>
      <c r="BG16" s="189"/>
      <c r="BH16" s="189"/>
      <c r="BI16" s="181"/>
      <c r="BJ16" s="181"/>
      <c r="BK16" s="181"/>
      <c r="BL16" s="181"/>
      <c r="BM16" s="181"/>
      <c r="BN16" s="181"/>
      <c r="BO16" s="181"/>
    </row>
    <row r="17" spans="2:67">
      <c r="D17" s="174"/>
      <c r="E17" s="174"/>
      <c r="F17" s="174"/>
      <c r="N17" s="100"/>
      <c r="U17" s="196"/>
      <c r="Z17" s="197"/>
      <c r="AA17" s="197"/>
      <c r="AB17" s="197"/>
      <c r="AC17" s="197"/>
      <c r="AD17" s="197"/>
      <c r="AE17" s="197"/>
      <c r="AJ17" s="176"/>
      <c r="AK17" s="176"/>
      <c r="AL17" s="176"/>
      <c r="AM17" s="179"/>
      <c r="AN17" s="179"/>
      <c r="AO17" s="179"/>
      <c r="AP17" s="177"/>
      <c r="AQ17" s="177"/>
      <c r="AR17" s="177"/>
      <c r="AS17" s="176"/>
      <c r="AU17" s="171"/>
      <c r="AV17" s="171"/>
      <c r="AW17" s="171"/>
      <c r="AX17" s="171"/>
      <c r="AY17" s="171"/>
      <c r="AZ17" s="171"/>
      <c r="BA17" s="171"/>
      <c r="BB17" s="171"/>
      <c r="BC17" s="171"/>
      <c r="BD17" s="171"/>
      <c r="BF17" s="188"/>
      <c r="BG17" s="180"/>
      <c r="BH17" s="180"/>
      <c r="BI17" s="181"/>
      <c r="BJ17" s="181"/>
      <c r="BK17" s="181"/>
      <c r="BL17" s="181"/>
      <c r="BM17" s="181"/>
      <c r="BN17" s="181"/>
      <c r="BO17" s="180"/>
    </row>
    <row r="18" spans="2:67">
      <c r="B18" s="1"/>
      <c r="C18" s="1" t="s">
        <v>214</v>
      </c>
      <c r="D18" s="172">
        <f>MAX(D4:D16)</f>
        <v>0.75248706512042818</v>
      </c>
      <c r="E18" s="205">
        <f>MAX(E4:E10)</f>
        <v>0.38161528539180906</v>
      </c>
      <c r="F18" s="206">
        <f>MAX(F12:F16)</f>
        <v>0.4998599464763604</v>
      </c>
      <c r="G18" s="182"/>
      <c r="T18" t="s">
        <v>216</v>
      </c>
      <c r="U18" s="177">
        <f>MEDIAN(U4:U10,U12:U16)</f>
        <v>0.39500000000000002</v>
      </c>
      <c r="V18" s="178">
        <f>MEDIAN(V4:V10)</f>
        <v>0.78</v>
      </c>
      <c r="W18" s="181">
        <f>MEDIAN(W12:W16)</f>
        <v>0.45200000000000001</v>
      </c>
      <c r="Z18" s="197"/>
      <c r="AA18" s="197"/>
      <c r="AB18" s="197"/>
      <c r="AC18" s="197"/>
      <c r="AD18" t="s">
        <v>216</v>
      </c>
      <c r="AE18" s="177">
        <f>MEDIAN(AE4:AE10,AE12:AE16)</f>
        <v>-4.1789473684210432E-2</v>
      </c>
      <c r="AF18" s="178">
        <f>MEDIAN(AF4:AF10)</f>
        <v>-1.3801999355046446E-3</v>
      </c>
      <c r="AG18" s="181">
        <f>MEDIAN(AG12:AG16)</f>
        <v>-7.9631281593815495E-3</v>
      </c>
      <c r="AJ18" s="176"/>
      <c r="AK18" s="176"/>
      <c r="AL18" s="176"/>
      <c r="AM18" s="179"/>
      <c r="AN18" s="179"/>
      <c r="AO18" s="179"/>
      <c r="AP18" s="177"/>
      <c r="AQ18" s="177"/>
      <c r="AR18" s="177"/>
      <c r="AS18" s="176"/>
      <c r="AU18" s="171"/>
      <c r="AV18" s="171"/>
      <c r="AW18" s="171"/>
      <c r="AX18" s="171"/>
      <c r="AY18" s="171"/>
      <c r="AZ18" s="171"/>
      <c r="BA18" s="171"/>
      <c r="BB18" s="171"/>
      <c r="BC18" s="171"/>
      <c r="BD18" s="178"/>
      <c r="BE18" s="100"/>
      <c r="BF18" s="180"/>
      <c r="BG18" s="180"/>
      <c r="BH18" s="180"/>
      <c r="BI18" s="181"/>
      <c r="BJ18" s="181"/>
      <c r="BK18" s="181"/>
      <c r="BL18" s="181"/>
      <c r="BM18" s="181"/>
      <c r="BN18" s="181"/>
      <c r="BO18" s="181"/>
    </row>
    <row r="19" spans="2:67">
      <c r="B19" s="1"/>
      <c r="C19" s="1" t="s">
        <v>213</v>
      </c>
      <c r="D19" s="172">
        <f>MIN(D4:D16)</f>
        <v>0.50042521558132624</v>
      </c>
      <c r="E19" s="205">
        <f>MIN(E4:E10)</f>
        <v>-9.2200257981296399E-2</v>
      </c>
      <c r="F19" s="206">
        <f>MIN(F12:F16)</f>
        <v>0.17188581623550406</v>
      </c>
      <c r="G19" s="174"/>
      <c r="H19" s="151" t="s">
        <v>244</v>
      </c>
      <c r="AE19" s="177"/>
      <c r="AJ19" s="176"/>
      <c r="AK19" s="176"/>
      <c r="AL19" s="176"/>
      <c r="AM19" s="179" t="s">
        <v>245</v>
      </c>
      <c r="AN19" s="179"/>
      <c r="AO19" s="179"/>
      <c r="AP19" s="177"/>
      <c r="AQ19" s="177"/>
      <c r="AR19" s="177" t="s">
        <v>216</v>
      </c>
      <c r="AS19" s="177">
        <f>MEDIAN(AS4:AS16)</f>
        <v>1.5553422916318893E-2</v>
      </c>
      <c r="AT19" s="100"/>
      <c r="AU19" s="171"/>
      <c r="AV19" s="171"/>
      <c r="AW19" s="171"/>
      <c r="AX19" s="171"/>
      <c r="AY19" s="171"/>
      <c r="AZ19" s="171"/>
      <c r="BA19" s="171"/>
      <c r="BB19" s="171"/>
      <c r="BC19" s="171" t="s">
        <v>216</v>
      </c>
      <c r="BD19" s="178">
        <f>MEDIAN(BD4:BD7)</f>
        <v>3.8131195246412772E-2</v>
      </c>
      <c r="BE19" s="100"/>
      <c r="BF19" s="180"/>
      <c r="BG19" s="180"/>
      <c r="BH19" s="180"/>
      <c r="BI19" s="181"/>
      <c r="BJ19" s="181"/>
      <c r="BK19" s="181"/>
      <c r="BL19" s="181"/>
      <c r="BM19" s="181" t="s">
        <v>216</v>
      </c>
      <c r="BN19" s="181"/>
      <c r="BO19" s="181">
        <f>MEDIAN(BO4:BO8)</f>
        <v>2.1159070696384952E-2</v>
      </c>
    </row>
    <row r="20" spans="2:67">
      <c r="B20" s="1"/>
      <c r="C20" s="1" t="s">
        <v>216</v>
      </c>
      <c r="D20" s="172">
        <f>MEDIAN(D4:D10,D12:D16)</f>
        <v>0.64767201903062743</v>
      </c>
      <c r="E20" s="205">
        <f>MEDIAN(E4:E10)</f>
        <v>0.11396033537568527</v>
      </c>
      <c r="F20" s="206">
        <f>MEDIAN(F12:F16)</f>
        <v>0.39899197145405879</v>
      </c>
      <c r="G20" s="174"/>
      <c r="AC20" t="s">
        <v>246</v>
      </c>
      <c r="AD20" t="s">
        <v>213</v>
      </c>
      <c r="AE20" s="100">
        <f>MIN(AE4:AE10,AF4:AF10,AE12:AE16,AG12:AG16)</f>
        <v>-0.10825899494498947</v>
      </c>
      <c r="BF20" s="197"/>
    </row>
    <row r="21" spans="2:67">
      <c r="AD21" t="s">
        <v>214</v>
      </c>
      <c r="AE21" s="100">
        <f>MAX(AE4:AE10,AF4:AF10,AE12:AE16,AG12:AG16)</f>
        <v>0.10161528539180903</v>
      </c>
    </row>
    <row r="22" spans="2:67">
      <c r="AD22" t="s">
        <v>216</v>
      </c>
      <c r="AE22" s="100">
        <f>MEDIAN(AE4:AE10,AF4:AF10,AE12:AE16,AG12:AG16)</f>
        <v>-2.5364717701588338E-2</v>
      </c>
    </row>
  </sheetData>
  <mergeCells count="4">
    <mergeCell ref="AE1:AG1"/>
    <mergeCell ref="AJ1:AR1"/>
    <mergeCell ref="AU1:BC1"/>
    <mergeCell ref="BF1:BN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784D3-DE3B-45CC-818D-22561B20634C}">
  <dimension ref="A1:BW46"/>
  <sheetViews>
    <sheetView topLeftCell="B32" zoomScale="80" zoomScaleNormal="80" workbookViewId="0">
      <selection activeCell="M49" sqref="M49"/>
    </sheetView>
  </sheetViews>
  <sheetFormatPr defaultRowHeight="15"/>
  <cols>
    <col min="1" max="1" width="9" customWidth="1"/>
    <col min="2" max="2" width="70.7109375" customWidth="1"/>
    <col min="3" max="3" width="18" customWidth="1"/>
    <col min="4" max="5" width="17.5703125" customWidth="1"/>
    <col min="6" max="6" width="17.7109375" customWidth="1"/>
    <col min="7" max="7" width="13.140625" style="100" customWidth="1"/>
    <col min="8" max="9" width="9.140625" style="100"/>
    <col min="10" max="10" width="9.140625" style="101"/>
    <col min="11" max="12" width="9.140625" style="100"/>
    <col min="13" max="13" width="11.7109375" style="100" customWidth="1"/>
    <col min="14" max="14" width="11.140625" style="100" customWidth="1"/>
    <col min="15" max="17" width="9.140625" style="100"/>
    <col min="18" max="19" width="11.85546875" style="100" customWidth="1"/>
    <col min="20" max="20" width="9.28515625" style="100" customWidth="1"/>
    <col min="23" max="23" width="10.7109375" customWidth="1"/>
    <col min="25" max="25" width="9.140625" style="101"/>
    <col min="28" max="28" width="11.140625" customWidth="1"/>
    <col min="30" max="30" width="9.140625" style="101"/>
    <col min="33" max="33" width="11.140625" customWidth="1"/>
    <col min="35" max="35" width="9.140625" style="101"/>
    <col min="38" max="38" width="11.5703125" customWidth="1"/>
    <col min="39" max="39" width="12" customWidth="1"/>
    <col min="40" max="40" width="9.140625" style="101"/>
    <col min="43" max="43" width="11.42578125" customWidth="1"/>
    <col min="45" max="45" width="9.140625" style="101"/>
    <col min="48" max="48" width="11.140625" customWidth="1"/>
    <col min="50" max="50" width="9.140625" style="101"/>
    <col min="53" max="53" width="11.42578125" customWidth="1"/>
    <col min="55" max="55" width="9.140625" style="101"/>
    <col min="58" max="58" width="12.42578125" customWidth="1"/>
    <col min="60" max="60" width="9.140625" style="101"/>
    <col min="63" max="63" width="11.140625" customWidth="1"/>
    <col min="65" max="65" width="9.140625" style="101"/>
    <col min="68" max="68" width="10.42578125" customWidth="1"/>
    <col min="70" max="70" width="9.140625" style="101"/>
  </cols>
  <sheetData>
    <row r="1" spans="1:75" s="98" customFormat="1">
      <c r="G1" s="98">
        <v>1</v>
      </c>
      <c r="H1" s="98" t="s">
        <v>247</v>
      </c>
      <c r="J1" s="98" t="s">
        <v>192</v>
      </c>
      <c r="L1" s="98">
        <f>G1+1</f>
        <v>2</v>
      </c>
      <c r="M1" s="98" t="s">
        <v>248</v>
      </c>
      <c r="O1" s="98" t="s">
        <v>192</v>
      </c>
      <c r="Q1" s="98">
        <f>L1+1</f>
        <v>3</v>
      </c>
      <c r="R1" s="98" t="s">
        <v>249</v>
      </c>
      <c r="T1" s="98" t="s">
        <v>192</v>
      </c>
      <c r="V1" s="98">
        <f>Q1+1</f>
        <v>4</v>
      </c>
      <c r="W1" s="98" t="s">
        <v>250</v>
      </c>
      <c r="Y1" s="98" t="s">
        <v>192</v>
      </c>
      <c r="AA1" s="98">
        <f>V1+1</f>
        <v>5</v>
      </c>
      <c r="AB1" s="98" t="s">
        <v>251</v>
      </c>
      <c r="AD1" s="98" t="s">
        <v>192</v>
      </c>
      <c r="AF1" s="98">
        <f>AA1+1</f>
        <v>6</v>
      </c>
      <c r="AG1" s="98" t="s">
        <v>252</v>
      </c>
      <c r="AI1" s="98" t="s">
        <v>192</v>
      </c>
      <c r="AK1" s="98">
        <f>AF1+1</f>
        <v>7</v>
      </c>
      <c r="AL1" s="98" t="s">
        <v>253</v>
      </c>
      <c r="AN1" s="98" t="s">
        <v>192</v>
      </c>
      <c r="AP1" s="98">
        <f>AK1+1</f>
        <v>8</v>
      </c>
      <c r="AQ1" s="98" t="s">
        <v>254</v>
      </c>
      <c r="AS1" s="98" t="s">
        <v>192</v>
      </c>
      <c r="AU1" s="98">
        <f>AP1+1</f>
        <v>9</v>
      </c>
      <c r="AV1" s="98" t="s">
        <v>255</v>
      </c>
      <c r="AX1" s="98" t="s">
        <v>192</v>
      </c>
      <c r="AZ1" s="98">
        <f>AU1+1</f>
        <v>10</v>
      </c>
      <c r="BA1" s="98" t="s">
        <v>256</v>
      </c>
      <c r="BC1" s="98" t="s">
        <v>192</v>
      </c>
      <c r="BE1" s="98">
        <f>AZ1+1</f>
        <v>11</v>
      </c>
      <c r="BF1" s="98" t="s">
        <v>257</v>
      </c>
      <c r="BH1" s="98" t="s">
        <v>192</v>
      </c>
      <c r="BJ1" s="98">
        <f>BE1+1</f>
        <v>12</v>
      </c>
      <c r="BK1" s="98" t="s">
        <v>258</v>
      </c>
      <c r="BM1" s="98" t="s">
        <v>192</v>
      </c>
      <c r="BO1" s="98">
        <f>BJ1+1</f>
        <v>13</v>
      </c>
      <c r="BP1" s="98" t="s">
        <v>259</v>
      </c>
      <c r="BR1" s="98" t="s">
        <v>192</v>
      </c>
      <c r="BT1" s="98">
        <v>14</v>
      </c>
      <c r="BU1" s="98" t="s">
        <v>260</v>
      </c>
      <c r="BW1" s="98" t="s">
        <v>192</v>
      </c>
    </row>
    <row r="2" spans="1:75" s="1" customFormat="1">
      <c r="B2" s="1" t="s">
        <v>221</v>
      </c>
      <c r="G2" s="99" t="s">
        <v>222</v>
      </c>
      <c r="H2" s="99" t="s">
        <v>219</v>
      </c>
      <c r="I2" s="99" t="s">
        <v>220</v>
      </c>
      <c r="J2" s="98">
        <f>'[1]FINAL - resolved factor loading'!F4</f>
        <v>758</v>
      </c>
      <c r="K2" s="98"/>
      <c r="L2" s="99" t="s">
        <v>222</v>
      </c>
      <c r="M2" s="99" t="s">
        <v>219</v>
      </c>
      <c r="N2" s="99" t="s">
        <v>220</v>
      </c>
      <c r="O2" s="98"/>
      <c r="P2" s="98"/>
      <c r="Q2" s="99" t="s">
        <v>222</v>
      </c>
      <c r="R2" s="99" t="s">
        <v>219</v>
      </c>
      <c r="S2" s="99" t="s">
        <v>220</v>
      </c>
      <c r="T2" s="99"/>
      <c r="V2" s="1" t="s">
        <v>218</v>
      </c>
      <c r="W2" s="1" t="s">
        <v>219</v>
      </c>
      <c r="X2" s="1" t="s">
        <v>220</v>
      </c>
      <c r="Y2" s="98"/>
      <c r="AA2" s="1" t="s">
        <v>218</v>
      </c>
      <c r="AB2" s="1" t="s">
        <v>219</v>
      </c>
      <c r="AC2" s="1" t="s">
        <v>220</v>
      </c>
      <c r="AD2" s="98"/>
      <c r="AF2" s="1" t="s">
        <v>218</v>
      </c>
      <c r="AG2" s="1" t="s">
        <v>219</v>
      </c>
      <c r="AH2" s="1" t="s">
        <v>220</v>
      </c>
      <c r="AI2" s="98"/>
      <c r="AK2" s="1" t="s">
        <v>218</v>
      </c>
      <c r="AL2" s="1" t="s">
        <v>219</v>
      </c>
      <c r="AM2" s="1" t="s">
        <v>220</v>
      </c>
      <c r="AN2" s="98"/>
      <c r="AP2" s="1" t="s">
        <v>218</v>
      </c>
      <c r="AQ2" s="1" t="s">
        <v>219</v>
      </c>
      <c r="AR2" s="1" t="s">
        <v>220</v>
      </c>
      <c r="AS2" s="98"/>
      <c r="AU2" s="1" t="s">
        <v>218</v>
      </c>
      <c r="AV2" s="1" t="s">
        <v>219</v>
      </c>
      <c r="AW2" s="1" t="s">
        <v>220</v>
      </c>
      <c r="AX2" s="98"/>
      <c r="AZ2" s="1" t="s">
        <v>218</v>
      </c>
      <c r="BA2" s="1" t="s">
        <v>219</v>
      </c>
      <c r="BB2" s="1" t="s">
        <v>220</v>
      </c>
      <c r="BC2" s="98"/>
      <c r="BE2" s="1" t="s">
        <v>218</v>
      </c>
      <c r="BF2" s="1" t="s">
        <v>261</v>
      </c>
      <c r="BG2" s="1" t="s">
        <v>220</v>
      </c>
      <c r="BH2" s="98"/>
      <c r="BJ2" s="1" t="s">
        <v>218</v>
      </c>
      <c r="BK2" s="1" t="s">
        <v>219</v>
      </c>
      <c r="BL2" s="1" t="s">
        <v>220</v>
      </c>
      <c r="BM2" s="98"/>
      <c r="BO2" s="1" t="s">
        <v>218</v>
      </c>
      <c r="BP2" s="1" t="s">
        <v>219</v>
      </c>
      <c r="BQ2" s="1" t="s">
        <v>220</v>
      </c>
      <c r="BR2" s="98"/>
      <c r="BT2" s="1" t="s">
        <v>218</v>
      </c>
      <c r="BU2" s="1" t="s">
        <v>219</v>
      </c>
      <c r="BV2" s="1" t="s">
        <v>220</v>
      </c>
    </row>
    <row r="3" spans="1:75">
      <c r="B3" t="s">
        <v>219</v>
      </c>
      <c r="K3" s="101"/>
    </row>
    <row r="4" spans="1:75">
      <c r="A4">
        <v>1</v>
      </c>
      <c r="B4" t="s">
        <v>232</v>
      </c>
      <c r="G4" s="100">
        <f>'[1]FINAL - resolved factor loading'!C4</f>
        <v>0.746</v>
      </c>
      <c r="H4" s="100">
        <f>'[1]FINAL - resolved factor loading'!D4</f>
        <v>-0.182</v>
      </c>
      <c r="J4" s="101">
        <f>J2</f>
        <v>758</v>
      </c>
      <c r="K4" s="101"/>
      <c r="L4" s="100">
        <f>'[1]FINAL - resolved factor loading'!H4</f>
        <v>0.64</v>
      </c>
      <c r="M4" s="100">
        <f>'[1]FINAL - resolved factor loading'!I4</f>
        <v>-0.22</v>
      </c>
      <c r="O4" s="101">
        <f>'[1]FINAL - resolved factor loading'!K4</f>
        <v>354</v>
      </c>
      <c r="P4" s="101"/>
      <c r="Q4" s="100">
        <f>'[1]FINAL - resolved factor loading'!M4</f>
        <v>0.9</v>
      </c>
      <c r="R4" s="100">
        <f>'[1]FINAL - resolved factor loading'!N4</f>
        <v>-0.18</v>
      </c>
      <c r="T4" s="102">
        <f>'[1]FINAL - resolved factor loading'!P4</f>
        <v>353</v>
      </c>
      <c r="V4" s="100">
        <f>'[1]FINAL - resolved factor loading'!R4</f>
        <v>0.78</v>
      </c>
      <c r="W4" s="100">
        <f>'[1]FINAL - resolved factor loading'!S4</f>
        <v>0.19</v>
      </c>
      <c r="Y4" s="101">
        <f>'[1]FINAL - resolved factor loading'!U4</f>
        <v>288</v>
      </c>
      <c r="AA4" s="100">
        <f>'[1]FINAL - resolved factor loading'!W4</f>
        <v>0.77</v>
      </c>
      <c r="AB4" s="100">
        <f>'[1]FINAL - resolved factor loading'!X4</f>
        <v>-0.08</v>
      </c>
      <c r="AD4" s="101">
        <f>'[1]FINAL - resolved factor loading'!Z4</f>
        <v>463</v>
      </c>
      <c r="AF4" s="100">
        <f>'[1]FINAL - resolved factor loading'!AB4</f>
        <v>0.8</v>
      </c>
      <c r="AG4" s="100">
        <f>'[1]FINAL - resolved factor loading'!AC4</f>
        <v>-0.51</v>
      </c>
      <c r="AI4" s="101">
        <f>'[1]FINAL - resolved factor loading'!AE4</f>
        <v>609</v>
      </c>
      <c r="AK4" s="100">
        <f>'[1]FINAL - resolved factor loading'!AG4</f>
        <v>0.72</v>
      </c>
      <c r="AL4" s="100">
        <f>'[1]FINAL - resolved factor loading'!AH4</f>
        <v>0.17</v>
      </c>
      <c r="AN4" s="101">
        <f>'[1]FINAL - resolved factor loading'!AJ4</f>
        <v>506</v>
      </c>
      <c r="AP4" s="100">
        <f>'[1]FINAL - resolved factor loading'!AL4</f>
        <v>0.78</v>
      </c>
      <c r="AS4" s="101">
        <f>'[1]FINAL - resolved factor loading'!AO4</f>
        <v>524</v>
      </c>
      <c r="AU4" s="100">
        <f>'[1]FINAL - resolved factor loading'!AQ4</f>
        <v>0.66</v>
      </c>
      <c r="AV4" s="100">
        <f>'[1]FINAL - resolved factor loading'!AR4</f>
        <v>0.23</v>
      </c>
      <c r="AX4" s="101">
        <f>'[1]FINAL - resolved factor loading'!AT4</f>
        <v>212</v>
      </c>
      <c r="AZ4" s="100">
        <f>'[1]FINAL - resolved factor loading'!AV4</f>
        <v>0.84</v>
      </c>
      <c r="BA4" s="100">
        <f>'[1]FINAL - resolved factor loading'!AW4</f>
        <v>8.9999999999999993E-3</v>
      </c>
      <c r="BC4" s="101">
        <f>'[1]FINAL - resolved factor loading'!AY4</f>
        <v>374</v>
      </c>
      <c r="BE4" s="100">
        <f>'[1]FINAL - resolved factor loading'!BA4</f>
        <v>0.77</v>
      </c>
      <c r="BF4" s="100">
        <f>'[1]FINAL - resolved factor loading'!BB4</f>
        <v>-0.17</v>
      </c>
      <c r="BH4" s="101">
        <f>'[1]FINAL - resolved factor loading'!BD4</f>
        <v>663</v>
      </c>
      <c r="BJ4" s="100">
        <f>'[1]FINAL - resolved factor loading'!BF4</f>
        <v>0.67</v>
      </c>
      <c r="BK4" s="100">
        <f>'[1]FINAL - resolved factor loading'!BG4</f>
        <v>-0.1</v>
      </c>
      <c r="BM4" s="101">
        <f>'[1]FINAL - resolved factor loading'!BI4</f>
        <v>696</v>
      </c>
      <c r="BO4" s="100">
        <f>'[1]FINAL - resolved factor loading'!BK4</f>
        <v>0.8</v>
      </c>
      <c r="BP4" s="100">
        <f>'[1]FINAL - resolved factor loading'!BL4</f>
        <v>4.0000000000000001E-3</v>
      </c>
      <c r="BR4" s="101">
        <f>'[1]FINAL - resolved factor loading'!BN4</f>
        <v>706</v>
      </c>
      <c r="BT4">
        <f>'[1]FINAL - resolved factor loading'!BP4</f>
        <v>0.52</v>
      </c>
      <c r="BU4">
        <f>'[1]FINAL - resolved factor loading'!BQ4</f>
        <v>0.19</v>
      </c>
      <c r="BW4" s="100">
        <f>'[1]FINAL - resolved factor loading'!BS4</f>
        <v>220</v>
      </c>
    </row>
    <row r="5" spans="1:75">
      <c r="A5">
        <v>2</v>
      </c>
      <c r="B5" t="s">
        <v>233</v>
      </c>
      <c r="G5" s="100">
        <f>'[1]FINAL - resolved factor loading'!C5</f>
        <v>0.67700000000000005</v>
      </c>
      <c r="H5" s="100">
        <f>'[1]FINAL - resolved factor loading'!D5</f>
        <v>-0.16600000000000001</v>
      </c>
      <c r="J5" s="101">
        <f t="shared" ref="J5:J10" si="0">J4</f>
        <v>758</v>
      </c>
      <c r="K5" s="101"/>
      <c r="L5" s="100">
        <f>'[1]FINAL - resolved factor loading'!H5</f>
        <v>0.66</v>
      </c>
      <c r="M5" s="100">
        <f>'[1]FINAL - resolved factor loading'!I5</f>
        <v>0.03</v>
      </c>
      <c r="O5" s="101">
        <f>'[1]FINAL - resolved factor loading'!K5</f>
        <v>354</v>
      </c>
      <c r="P5" s="101"/>
      <c r="Q5" s="100">
        <f>'[1]FINAL - resolved factor loading'!M5</f>
        <v>0.83</v>
      </c>
      <c r="R5" s="100">
        <f>'[1]FINAL - resolved factor loading'!N5</f>
        <v>0.08</v>
      </c>
      <c r="T5" s="102">
        <f>'[1]FINAL - resolved factor loading'!P5</f>
        <v>353</v>
      </c>
      <c r="V5" s="100">
        <f>'[1]FINAL - resolved factor loading'!R5</f>
        <v>0.72</v>
      </c>
      <c r="W5" s="100">
        <f>'[1]FINAL - resolved factor loading'!S5</f>
        <v>0.41</v>
      </c>
      <c r="Y5" s="101">
        <f>'[1]FINAL - resolved factor loading'!U5</f>
        <v>288</v>
      </c>
      <c r="AA5" s="100">
        <f>'[1]FINAL - resolved factor loading'!W5</f>
        <v>0.62</v>
      </c>
      <c r="AB5" s="100">
        <f>'[1]FINAL - resolved factor loading'!X5</f>
        <v>0.2</v>
      </c>
      <c r="AD5" s="101">
        <f>'[1]FINAL - resolved factor loading'!Z5</f>
        <v>463</v>
      </c>
      <c r="AF5" s="100">
        <f>'[1]FINAL - resolved factor loading'!AB5</f>
        <v>0.68</v>
      </c>
      <c r="AG5" s="100">
        <f>'[1]FINAL - resolved factor loading'!AC5</f>
        <v>0.01</v>
      </c>
      <c r="AI5" s="101">
        <f>'[1]FINAL - resolved factor loading'!AE5</f>
        <v>609</v>
      </c>
      <c r="AK5" s="100">
        <f>'[1]FINAL - resolved factor loading'!AG5</f>
        <v>0.56999999999999995</v>
      </c>
      <c r="AL5" s="100">
        <f>'[1]FINAL - resolved factor loading'!AH5</f>
        <v>0.94</v>
      </c>
      <c r="AN5" s="101">
        <f>'[1]FINAL - resolved factor loading'!AJ5</f>
        <v>506</v>
      </c>
      <c r="AP5" s="100">
        <f>'[1]FINAL - resolved factor loading'!AL5</f>
        <v>0.73</v>
      </c>
      <c r="AS5" s="101">
        <f>'[1]FINAL - resolved factor loading'!AO5</f>
        <v>524</v>
      </c>
      <c r="AU5" s="100">
        <f>'[1]FINAL - resolved factor loading'!AQ5</f>
        <v>0.69</v>
      </c>
      <c r="AV5" s="100">
        <f>'[1]FINAL - resolved factor loading'!AR5</f>
        <v>0.24</v>
      </c>
      <c r="AX5" s="101">
        <f>'[1]FINAL - resolved factor loading'!AT5</f>
        <v>212</v>
      </c>
      <c r="AZ5" s="100">
        <f>'[1]FINAL - resolved factor loading'!AV5</f>
        <v>0.76</v>
      </c>
      <c r="BA5" s="100">
        <f>'[1]FINAL - resolved factor loading'!AW5</f>
        <v>0.12</v>
      </c>
      <c r="BC5" s="101">
        <f>'[1]FINAL - resolved factor loading'!AY5</f>
        <v>374</v>
      </c>
      <c r="BE5" s="100">
        <f>'[1]FINAL - resolved factor loading'!BA5</f>
        <v>0.75</v>
      </c>
      <c r="BF5" s="100">
        <f>'[1]FINAL - resolved factor loading'!BB5</f>
        <v>0.02</v>
      </c>
      <c r="BH5" s="101">
        <f>'[1]FINAL - resolved factor loading'!BD5</f>
        <v>663</v>
      </c>
      <c r="BJ5" s="100">
        <f>'[1]FINAL - resolved factor loading'!BF5</f>
        <v>0.6</v>
      </c>
      <c r="BK5" s="100">
        <f>'[1]FINAL - resolved factor loading'!BG5</f>
        <v>-0.03</v>
      </c>
      <c r="BM5" s="101">
        <f>'[1]FINAL - resolved factor loading'!BI5</f>
        <v>696</v>
      </c>
      <c r="BO5" s="100">
        <f>'[1]FINAL - resolved factor loading'!BK5</f>
        <v>0.69</v>
      </c>
      <c r="BP5" s="100">
        <f>'[1]FINAL - resolved factor loading'!BL5</f>
        <v>0</v>
      </c>
      <c r="BR5" s="101">
        <f>'[1]FINAL - resolved factor loading'!BN5</f>
        <v>706</v>
      </c>
      <c r="BT5">
        <f>'[1]FINAL - resolved factor loading'!BP5</f>
        <v>0.59</v>
      </c>
      <c r="BU5">
        <f>'[1]FINAL - resolved factor loading'!BQ5</f>
        <v>0.06</v>
      </c>
      <c r="BW5" s="100">
        <f>'[1]FINAL - resolved factor loading'!BS5</f>
        <v>220</v>
      </c>
    </row>
    <row r="6" spans="1:75">
      <c r="A6">
        <v>3</v>
      </c>
      <c r="B6" t="s">
        <v>234</v>
      </c>
      <c r="G6" s="100">
        <f>'[1]FINAL - resolved factor loading'!C6</f>
        <v>0.34499999999999997</v>
      </c>
      <c r="H6" s="100">
        <f>'[1]FINAL - resolved factor loading'!D6</f>
        <v>0.38</v>
      </c>
      <c r="J6" s="101">
        <f t="shared" si="0"/>
        <v>758</v>
      </c>
      <c r="K6" s="101"/>
      <c r="L6" s="100">
        <f>'[1]FINAL - resolved factor loading'!H6</f>
        <v>0.56999999999999995</v>
      </c>
      <c r="M6" s="100">
        <f>'[1]FINAL - resolved factor loading'!I6</f>
        <v>7.0000000000000007E-2</v>
      </c>
      <c r="O6" s="101">
        <f>'[1]FINAL - resolved factor loading'!K6</f>
        <v>354</v>
      </c>
      <c r="P6" s="101"/>
      <c r="Q6" s="100">
        <f>'[1]FINAL - resolved factor loading'!M6</f>
        <v>0.73</v>
      </c>
      <c r="R6" s="100">
        <f>'[1]FINAL - resolved factor loading'!N6</f>
        <v>0.31</v>
      </c>
      <c r="T6" s="102">
        <f>'[1]FINAL - resolved factor loading'!P6</f>
        <v>353</v>
      </c>
      <c r="V6" s="100">
        <f>'[1]FINAL - resolved factor loading'!R6</f>
        <v>0.56999999999999995</v>
      </c>
      <c r="W6" s="100">
        <f>'[1]FINAL - resolved factor loading'!S6</f>
        <v>0.32</v>
      </c>
      <c r="Y6" s="101">
        <f>'[1]FINAL - resolved factor loading'!U6</f>
        <v>288</v>
      </c>
      <c r="AA6" s="100">
        <f>'[1]FINAL - resolved factor loading'!W6</f>
        <v>0.6</v>
      </c>
      <c r="AB6" s="100">
        <f>'[1]FINAL - resolved factor loading'!X6</f>
        <v>0.45</v>
      </c>
      <c r="AD6" s="101">
        <f>'[1]FINAL - resolved factor loading'!Z6</f>
        <v>463</v>
      </c>
      <c r="AF6" s="100">
        <f>'[1]FINAL - resolved factor loading'!AB6</f>
        <v>0.49</v>
      </c>
      <c r="AG6" s="100">
        <f>'[1]FINAL - resolved factor loading'!AC6</f>
        <v>0.13</v>
      </c>
      <c r="AI6" s="101">
        <f>'[1]FINAL - resolved factor loading'!AE6</f>
        <v>609</v>
      </c>
      <c r="AK6" s="100">
        <f>'[1]FINAL - resolved factor loading'!AG6</f>
        <v>0.7</v>
      </c>
      <c r="AL6" s="100">
        <f>'[1]FINAL - resolved factor loading'!AH6</f>
        <v>7.0000000000000007E-2</v>
      </c>
      <c r="AN6" s="101">
        <f>'[1]FINAL - resolved factor loading'!AJ6</f>
        <v>506</v>
      </c>
      <c r="AP6" s="100">
        <f>'[1]FINAL - resolved factor loading'!AL6</f>
        <v>0.76</v>
      </c>
      <c r="AS6" s="101">
        <f>'[1]FINAL - resolved factor loading'!AO6</f>
        <v>524</v>
      </c>
      <c r="AU6" s="100">
        <f>'[1]FINAL - resolved factor loading'!AQ6</f>
        <v>0.67</v>
      </c>
      <c r="AV6" s="100">
        <f>'[1]FINAL - resolved factor loading'!AR6</f>
        <v>0.23</v>
      </c>
      <c r="AX6" s="101">
        <f>'[1]FINAL - resolved factor loading'!AT6</f>
        <v>212</v>
      </c>
      <c r="AZ6" s="100">
        <f>'[1]FINAL - resolved factor loading'!AV6</f>
        <v>0.64</v>
      </c>
      <c r="BA6" s="100">
        <f>'[1]FINAL - resolved factor loading'!AW6</f>
        <v>0.67</v>
      </c>
      <c r="BC6" s="101">
        <f>'[1]FINAL - resolved factor loading'!AY6</f>
        <v>374</v>
      </c>
      <c r="BE6" s="100">
        <f>'[1]FINAL - resolved factor loading'!BA6</f>
        <v>0.73</v>
      </c>
      <c r="BF6" s="100">
        <f>'[1]FINAL - resolved factor loading'!BB6</f>
        <v>0.05</v>
      </c>
      <c r="BH6" s="101">
        <f>'[1]FINAL - resolved factor loading'!BD6</f>
        <v>663</v>
      </c>
      <c r="BJ6" s="100">
        <f>'[1]FINAL - resolved factor loading'!BF6</f>
        <v>0.12</v>
      </c>
      <c r="BK6" s="100">
        <f>'[1]FINAL - resolved factor loading'!BG6</f>
        <v>0.48</v>
      </c>
      <c r="BM6" s="101">
        <f>'[1]FINAL - resolved factor loading'!BI6</f>
        <v>696</v>
      </c>
      <c r="BO6" s="100">
        <f>'[1]FINAL - resolved factor loading'!BK6</f>
        <v>0.16</v>
      </c>
      <c r="BP6" s="100">
        <f>'[1]FINAL - resolved factor loading'!BL6</f>
        <v>0.28000000000000003</v>
      </c>
      <c r="BR6" s="101">
        <f>'[1]FINAL - resolved factor loading'!BN6</f>
        <v>706</v>
      </c>
      <c r="BT6">
        <f>'[1]FINAL - resolved factor loading'!BP6</f>
        <v>0.41</v>
      </c>
      <c r="BU6">
        <f>'[1]FINAL - resolved factor loading'!BQ6</f>
        <v>0.12</v>
      </c>
      <c r="BW6" s="100">
        <f>'[1]FINAL - resolved factor loading'!BS6</f>
        <v>220</v>
      </c>
    </row>
    <row r="7" spans="1:75">
      <c r="A7">
        <v>4</v>
      </c>
      <c r="B7" s="86" t="s">
        <v>235</v>
      </c>
      <c r="C7" s="86"/>
      <c r="D7" s="86"/>
      <c r="E7" s="86"/>
      <c r="F7" s="86"/>
      <c r="G7" s="100">
        <f>'[1]FINAL - resolved factor loading'!C7</f>
        <v>0.46600000000000003</v>
      </c>
      <c r="H7" s="100">
        <f>'[1]FINAL - resolved factor loading'!D7</f>
        <v>0.14699999999999999</v>
      </c>
      <c r="J7" s="101">
        <f t="shared" si="0"/>
        <v>758</v>
      </c>
      <c r="K7" s="101"/>
      <c r="L7" s="100">
        <f>'[1]FINAL - resolved factor loading'!H7</f>
        <v>0.49</v>
      </c>
      <c r="M7" s="100">
        <f>'[1]FINAL - resolved factor loading'!I7</f>
        <v>0.1</v>
      </c>
      <c r="O7" s="101">
        <f>'[1]FINAL - resolved factor loading'!K7</f>
        <v>354</v>
      </c>
      <c r="P7" s="101"/>
      <c r="Q7" s="100">
        <f>'[1]FINAL - resolved factor loading'!M7</f>
        <v>0.83</v>
      </c>
      <c r="R7" s="100">
        <f>'[1]FINAL - resolved factor loading'!N7</f>
        <v>0.06</v>
      </c>
      <c r="T7" s="102">
        <f>'[1]FINAL - resolved factor loading'!P7</f>
        <v>353</v>
      </c>
      <c r="V7" s="100">
        <f>'[1]FINAL - resolved factor loading'!R7</f>
        <v>0.78</v>
      </c>
      <c r="W7" s="100">
        <f>'[1]FINAL - resolved factor loading'!S7</f>
        <v>0.06</v>
      </c>
      <c r="Y7" s="101">
        <f>'[1]FINAL - resolved factor loading'!U7</f>
        <v>288</v>
      </c>
      <c r="AA7" s="100">
        <f>'[1]FINAL - resolved factor loading'!W7</f>
        <v>0.81</v>
      </c>
      <c r="AB7" s="100">
        <f>'[1]FINAL - resolved factor loading'!X7</f>
        <v>0.01</v>
      </c>
      <c r="AD7" s="101">
        <f>'[1]FINAL - resolved factor loading'!Z7</f>
        <v>463</v>
      </c>
      <c r="AF7" s="100">
        <f>'[1]FINAL - resolved factor loading'!AB7</f>
        <v>0.36</v>
      </c>
      <c r="AG7" s="100">
        <f>'[1]FINAL - resolved factor loading'!AC7</f>
        <v>0.03</v>
      </c>
      <c r="AI7" s="101">
        <f>'[1]FINAL - resolved factor loading'!AE7</f>
        <v>609</v>
      </c>
      <c r="AK7" s="100">
        <f>'[1]FINAL - resolved factor loading'!AG7</f>
        <v>0.82</v>
      </c>
      <c r="AL7" s="100">
        <f>'[1]FINAL - resolved factor loading'!AH7</f>
        <v>-0.03</v>
      </c>
      <c r="AN7" s="101">
        <f>'[1]FINAL - resolved factor loading'!AJ7</f>
        <v>506</v>
      </c>
      <c r="AP7" s="100">
        <f>'[1]FINAL - resolved factor loading'!AL7</f>
        <v>0.77</v>
      </c>
      <c r="AS7" s="101">
        <f>'[1]FINAL - resolved factor loading'!AO7</f>
        <v>524</v>
      </c>
      <c r="AU7" s="100">
        <f>'[1]FINAL - resolved factor loading'!AQ7</f>
        <v>0.7</v>
      </c>
      <c r="AV7" s="100">
        <f>'[1]FINAL - resolved factor loading'!AR7</f>
        <v>0.24</v>
      </c>
      <c r="AX7" s="101">
        <f>'[1]FINAL - resolved factor loading'!AT7</f>
        <v>212</v>
      </c>
      <c r="AZ7" s="100">
        <f>'[1]FINAL - resolved factor loading'!AV7</f>
        <v>0.69</v>
      </c>
      <c r="BA7" s="100">
        <f>'[1]FINAL - resolved factor loading'!AW7</f>
        <v>0.28000000000000003</v>
      </c>
      <c r="BC7" s="101">
        <f>'[1]FINAL - resolved factor loading'!AY7</f>
        <v>374</v>
      </c>
      <c r="BE7" s="100">
        <f>'[1]FINAL - resolved factor loading'!BA7</f>
        <v>0.78</v>
      </c>
      <c r="BF7" s="100">
        <f>'[1]FINAL - resolved factor loading'!BB7</f>
        <v>-0.12</v>
      </c>
      <c r="BH7" s="101">
        <f>'[1]FINAL - resolved factor loading'!BD7</f>
        <v>663</v>
      </c>
      <c r="BJ7" s="100">
        <f>'[1]FINAL - resolved factor loading'!BF7</f>
        <v>0.44</v>
      </c>
      <c r="BK7" s="100">
        <f>'[1]FINAL - resolved factor loading'!BG7</f>
        <v>0.18</v>
      </c>
      <c r="BM7" s="101">
        <f>'[1]FINAL - resolved factor loading'!BI7</f>
        <v>696</v>
      </c>
      <c r="BO7" s="100">
        <f>'[1]FINAL - resolved factor loading'!BK7</f>
        <v>0.5</v>
      </c>
      <c r="BP7" s="100">
        <f>'[1]FINAL - resolved factor loading'!BL7</f>
        <v>0.09</v>
      </c>
      <c r="BR7" s="101">
        <f>'[1]FINAL - resolved factor loading'!BN7</f>
        <v>706</v>
      </c>
      <c r="BT7">
        <f>'[1]FINAL - resolved factor loading'!BP7</f>
        <v>0.57999999999999996</v>
      </c>
      <c r="BU7">
        <f>'[1]FINAL - resolved factor loading'!BQ7</f>
        <v>0.01</v>
      </c>
      <c r="BW7" s="100">
        <f>'[1]FINAL - resolved factor loading'!BS7</f>
        <v>220</v>
      </c>
    </row>
    <row r="8" spans="1:75">
      <c r="A8">
        <v>5</v>
      </c>
      <c r="B8" t="s">
        <v>236</v>
      </c>
      <c r="G8" s="100">
        <f>'[1]FINAL - resolved factor loading'!C8</f>
        <v>0.61199999999999999</v>
      </c>
      <c r="H8" s="100">
        <f>'[1]FINAL - resolved factor loading'!D8</f>
        <v>0.36199999999999999</v>
      </c>
      <c r="J8" s="101">
        <f t="shared" si="0"/>
        <v>758</v>
      </c>
      <c r="K8" s="101"/>
      <c r="L8" s="100">
        <f>'[1]FINAL - resolved factor loading'!H8</f>
        <v>0.72</v>
      </c>
      <c r="M8" s="100">
        <f>'[1]FINAL - resolved factor loading'!I8</f>
        <v>0.2</v>
      </c>
      <c r="O8" s="101">
        <f>'[1]FINAL - resolved factor loading'!K8</f>
        <v>354</v>
      </c>
      <c r="P8" s="101"/>
      <c r="Q8" s="100">
        <f>'[1]FINAL - resolved factor loading'!M8</f>
        <v>0.7</v>
      </c>
      <c r="R8" s="100">
        <f>'[1]FINAL - resolved factor loading'!N8</f>
        <v>0.34</v>
      </c>
      <c r="T8" s="102">
        <f>'[1]FINAL - resolved factor loading'!P8</f>
        <v>353</v>
      </c>
      <c r="V8" s="100">
        <f>'[1]FINAL - resolved factor loading'!R8</f>
        <v>0.76</v>
      </c>
      <c r="W8" s="100">
        <f>'[1]FINAL - resolved factor loading'!S8</f>
        <v>0.27</v>
      </c>
      <c r="Y8" s="101">
        <f>'[1]FINAL - resolved factor loading'!U8</f>
        <v>288</v>
      </c>
      <c r="AA8" s="100">
        <f>'[1]FINAL - resolved factor loading'!W8</f>
        <v>0.7</v>
      </c>
      <c r="AB8" s="100">
        <f>'[1]FINAL - resolved factor loading'!X8</f>
        <v>0.48</v>
      </c>
      <c r="AD8" s="101">
        <f>'[1]FINAL - resolved factor loading'!Z8</f>
        <v>463</v>
      </c>
      <c r="AF8" s="100">
        <f>'[1]FINAL - resolved factor loading'!AB8</f>
        <v>0.65</v>
      </c>
      <c r="AG8" s="100">
        <f>'[1]FINAL - resolved factor loading'!AC8</f>
        <v>0.25</v>
      </c>
      <c r="AI8" s="101">
        <f>'[1]FINAL - resolved factor loading'!AE8</f>
        <v>609</v>
      </c>
      <c r="AK8" s="100">
        <f>'[1]FINAL - resolved factor loading'!AG8</f>
        <v>0.69</v>
      </c>
      <c r="AL8" s="100">
        <f>'[1]FINAL - resolved factor loading'!AH8</f>
        <v>0.1</v>
      </c>
      <c r="AN8" s="101">
        <f>'[1]FINAL - resolved factor loading'!AJ8</f>
        <v>506</v>
      </c>
      <c r="AP8" s="100">
        <f>'[1]FINAL - resolved factor loading'!AL8</f>
        <v>0.76</v>
      </c>
      <c r="AS8" s="101">
        <f>'[1]FINAL - resolved factor loading'!AO8</f>
        <v>524</v>
      </c>
      <c r="AU8" s="100">
        <f>'[1]FINAL - resolved factor loading'!AQ8</f>
        <v>0.67</v>
      </c>
      <c r="AV8" s="100">
        <f>'[1]FINAL - resolved factor loading'!AR8</f>
        <v>0.23</v>
      </c>
      <c r="AX8" s="101">
        <f>'[1]FINAL - resolved factor loading'!AT8</f>
        <v>212</v>
      </c>
      <c r="AZ8" s="100">
        <f>'[1]FINAL - resolved factor loading'!AV8</f>
        <v>0.73</v>
      </c>
      <c r="BA8" s="100">
        <f>'[1]FINAL - resolved factor loading'!AW8</f>
        <v>0.26</v>
      </c>
      <c r="BC8" s="101">
        <f>'[1]FINAL - resolved factor loading'!AY8</f>
        <v>374</v>
      </c>
      <c r="BE8" s="100">
        <f>'[1]FINAL - resolved factor loading'!BA8</f>
        <v>0.68</v>
      </c>
      <c r="BF8" s="100">
        <f>'[1]FINAL - resolved factor loading'!BB8</f>
        <v>7.0000000000000007E-2</v>
      </c>
      <c r="BH8" s="101">
        <f>'[1]FINAL - resolved factor loading'!BD8</f>
        <v>663</v>
      </c>
      <c r="BJ8" s="100">
        <f>'[1]FINAL - resolved factor loading'!BF8</f>
        <v>0.35</v>
      </c>
      <c r="BK8" s="100">
        <f>'[1]FINAL - resolved factor loading'!BG8</f>
        <v>0.3</v>
      </c>
      <c r="BM8" s="101">
        <f>'[1]FINAL - resolved factor loading'!BI8</f>
        <v>696</v>
      </c>
      <c r="BO8" s="100">
        <f>'[1]FINAL - resolved factor loading'!BK8</f>
        <v>0.5</v>
      </c>
      <c r="BP8" s="100">
        <f>'[1]FINAL - resolved factor loading'!BL8</f>
        <v>0.28000000000000003</v>
      </c>
      <c r="BR8" s="101">
        <f>'[1]FINAL - resolved factor loading'!BN8</f>
        <v>706</v>
      </c>
      <c r="BT8">
        <f>'[1]FINAL - resolved factor loading'!BP8</f>
        <v>0.65</v>
      </c>
      <c r="BU8">
        <f>'[1]FINAL - resolved factor loading'!BQ8</f>
        <v>-0.6</v>
      </c>
      <c r="BW8" s="100">
        <f>'[1]FINAL - resolved factor loading'!BS8</f>
        <v>220</v>
      </c>
    </row>
    <row r="9" spans="1:75">
      <c r="A9">
        <v>6</v>
      </c>
      <c r="B9" t="s">
        <v>237</v>
      </c>
      <c r="G9" s="100">
        <f>'[1]FINAL - resolved factor loading'!C9</f>
        <v>0.78</v>
      </c>
      <c r="H9" s="100">
        <f>'[1]FINAL - resolved factor loading'!D9</f>
        <v>0.157</v>
      </c>
      <c r="J9" s="101">
        <f t="shared" si="0"/>
        <v>758</v>
      </c>
      <c r="K9" s="101"/>
      <c r="L9" s="100">
        <f>'[1]FINAL - resolved factor loading'!H9</f>
        <v>0.77</v>
      </c>
      <c r="M9" s="100">
        <f>'[1]FINAL - resolved factor loading'!I9</f>
        <v>-0.45</v>
      </c>
      <c r="O9" s="101">
        <f>'[1]FINAL - resolved factor loading'!K9</f>
        <v>354</v>
      </c>
      <c r="P9" s="101"/>
      <c r="Q9" s="100">
        <f>'[1]FINAL - resolved factor loading'!M9</f>
        <v>0.87</v>
      </c>
      <c r="R9" s="100">
        <f>'[1]FINAL - resolved factor loading'!N9</f>
        <v>0.03</v>
      </c>
      <c r="T9" s="102">
        <f>'[1]FINAL - resolved factor loading'!P9</f>
        <v>353</v>
      </c>
      <c r="V9" s="100">
        <f>'[1]FINAL - resolved factor loading'!R9</f>
        <v>0.73</v>
      </c>
      <c r="W9" s="100">
        <f>'[1]FINAL - resolved factor loading'!S9</f>
        <v>0.33</v>
      </c>
      <c r="Y9" s="101">
        <f>'[1]FINAL - resolved factor loading'!U9</f>
        <v>288</v>
      </c>
      <c r="AA9" s="100">
        <f>'[1]FINAL - resolved factor loading'!W9</f>
        <v>0.79</v>
      </c>
      <c r="AB9" s="100">
        <f>'[1]FINAL - resolved factor loading'!X9</f>
        <v>0.2</v>
      </c>
      <c r="AD9" s="101">
        <f>'[1]FINAL - resolved factor loading'!Z9</f>
        <v>463</v>
      </c>
      <c r="AF9" s="100">
        <f>'[1]FINAL - resolved factor loading'!AB9</f>
        <v>0.62</v>
      </c>
      <c r="AG9" s="100">
        <f>'[1]FINAL - resolved factor loading'!AC9</f>
        <v>0.13</v>
      </c>
      <c r="AI9" s="101">
        <f>'[1]FINAL - resolved factor loading'!AE9</f>
        <v>609</v>
      </c>
      <c r="AK9" s="100">
        <f>'[1]FINAL - resolved factor loading'!AG9</f>
        <v>0.81</v>
      </c>
      <c r="AL9" s="100">
        <f>'[1]FINAL - resolved factor loading'!AH9</f>
        <v>-0.04</v>
      </c>
      <c r="AN9" s="101">
        <f>'[1]FINAL - resolved factor loading'!AJ9</f>
        <v>506</v>
      </c>
      <c r="AP9" s="100">
        <f>'[1]FINAL - resolved factor loading'!AL9</f>
        <v>0.8</v>
      </c>
      <c r="AS9" s="101">
        <f>'[1]FINAL - resolved factor loading'!AO9</f>
        <v>524</v>
      </c>
      <c r="AU9" s="100">
        <f>'[1]FINAL - resolved factor loading'!AQ9</f>
        <v>0.71</v>
      </c>
      <c r="AV9" s="100">
        <f>'[1]FINAL - resolved factor loading'!AR9</f>
        <v>0.24</v>
      </c>
      <c r="AX9" s="101">
        <f>'[1]FINAL - resolved factor loading'!AT9</f>
        <v>212</v>
      </c>
      <c r="AZ9" s="100">
        <f>'[1]FINAL - resolved factor loading'!AV9</f>
        <v>0.77</v>
      </c>
      <c r="BA9" s="100">
        <f>'[1]FINAL - resolved factor loading'!AW9</f>
        <v>0.22</v>
      </c>
      <c r="BC9" s="101">
        <f>'[1]FINAL - resolved factor loading'!AY9</f>
        <v>374</v>
      </c>
      <c r="BE9" s="100">
        <f>'[1]FINAL - resolved factor loading'!BA9</f>
        <v>0.77</v>
      </c>
      <c r="BF9" s="100">
        <f>'[1]FINAL - resolved factor loading'!BB9</f>
        <v>0.06</v>
      </c>
      <c r="BH9" s="101">
        <f>'[1]FINAL - resolved factor loading'!BD9</f>
        <v>663</v>
      </c>
      <c r="BJ9" s="100">
        <f>'[1]FINAL - resolved factor loading'!BF9</f>
        <v>0.21</v>
      </c>
      <c r="BK9" s="100">
        <f>'[1]FINAL - resolved factor loading'!BG9</f>
        <v>0.03</v>
      </c>
      <c r="BM9" s="101">
        <f>'[1]FINAL - resolved factor loading'!BI9</f>
        <v>696</v>
      </c>
      <c r="BO9" s="100">
        <f>'[1]FINAL - resolved factor loading'!BK9</f>
        <v>0.42</v>
      </c>
      <c r="BP9" s="100">
        <f>'[1]FINAL - resolved factor loading'!BL9</f>
        <v>0.12</v>
      </c>
      <c r="BR9" s="101">
        <f>'[1]FINAL - resolved factor loading'!BN9</f>
        <v>706</v>
      </c>
      <c r="BT9">
        <f>'[1]FINAL - resolved factor loading'!BP9</f>
        <v>0.48</v>
      </c>
      <c r="BU9">
        <f>'[1]FINAL - resolved factor loading'!BQ9</f>
        <v>0.22</v>
      </c>
      <c r="BW9" s="100">
        <f>'[1]FINAL - resolved factor loading'!BS9</f>
        <v>220</v>
      </c>
    </row>
    <row r="10" spans="1:75">
      <c r="A10">
        <v>7</v>
      </c>
      <c r="B10" t="s">
        <v>238</v>
      </c>
      <c r="G10" s="100">
        <f>'[1]FINAL - resolved factor loading'!C10</f>
        <v>0.69799999999999995</v>
      </c>
      <c r="H10" s="100">
        <f>'[1]FINAL - resolved factor loading'!D10</f>
        <v>0.49099999999999999</v>
      </c>
      <c r="J10" s="101">
        <f t="shared" si="0"/>
        <v>758</v>
      </c>
      <c r="K10" s="101"/>
      <c r="L10" s="100">
        <f>'[1]FINAL - resolved factor loading'!H10</f>
        <v>0.57999999999999996</v>
      </c>
      <c r="M10" s="100">
        <f>'[1]FINAL - resolved factor loading'!I10</f>
        <v>0.28000000000000003</v>
      </c>
      <c r="O10" s="101">
        <f>'[1]FINAL - resolved factor loading'!K10</f>
        <v>354</v>
      </c>
      <c r="P10" s="101"/>
      <c r="Q10" s="100">
        <f>'[1]FINAL - resolved factor loading'!M10</f>
        <v>0.62</v>
      </c>
      <c r="R10" s="100">
        <f>'[1]FINAL - resolved factor loading'!N10</f>
        <v>0.45</v>
      </c>
      <c r="T10" s="102">
        <f>'[1]FINAL - resolved factor loading'!P10</f>
        <v>353</v>
      </c>
      <c r="V10" s="100">
        <f>'[1]FINAL - resolved factor loading'!R10</f>
        <v>0.64</v>
      </c>
      <c r="W10" s="100">
        <f>'[1]FINAL - resolved factor loading'!S10</f>
        <v>0.28999999999999998</v>
      </c>
      <c r="Y10" s="101">
        <f>'[1]FINAL - resolved factor loading'!U10</f>
        <v>288</v>
      </c>
      <c r="AA10" s="100">
        <f>'[1]FINAL - resolved factor loading'!W10</f>
        <v>0.61</v>
      </c>
      <c r="AB10" s="100">
        <f>'[1]FINAL - resolved factor loading'!X10</f>
        <v>0.48</v>
      </c>
      <c r="AD10" s="101">
        <f>'[1]FINAL - resolved factor loading'!Z10</f>
        <v>463</v>
      </c>
      <c r="AF10" s="100">
        <f>'[1]FINAL - resolved factor loading'!AB10</f>
        <v>0.64</v>
      </c>
      <c r="AG10" s="100">
        <f>'[1]FINAL - resolved factor loading'!AC10</f>
        <v>0.27</v>
      </c>
      <c r="AI10" s="101">
        <f>'[1]FINAL - resolved factor loading'!AE10</f>
        <v>609</v>
      </c>
      <c r="AK10" s="100">
        <f>'[1]FINAL - resolved factor loading'!AG10</f>
        <v>0.69</v>
      </c>
      <c r="AL10" s="100">
        <f>'[1]FINAL - resolved factor loading'!AH10</f>
        <v>0.18</v>
      </c>
      <c r="AN10" s="101">
        <f>'[1]FINAL - resolved factor loading'!AJ10</f>
        <v>506</v>
      </c>
      <c r="AP10" s="100">
        <f>'[1]FINAL - resolved factor loading'!AL10</f>
        <v>0.72</v>
      </c>
      <c r="AS10" s="101">
        <f>'[1]FINAL - resolved factor loading'!AO10</f>
        <v>524</v>
      </c>
      <c r="AU10" s="100">
        <f>'[1]FINAL - resolved factor loading'!AQ10</f>
        <v>0.7</v>
      </c>
      <c r="AV10" s="100">
        <f>'[1]FINAL - resolved factor loading'!AR10</f>
        <v>0.24</v>
      </c>
      <c r="AX10" s="101">
        <f>'[1]FINAL - resolved factor loading'!AT10</f>
        <v>212</v>
      </c>
      <c r="AZ10" s="100">
        <f>'[1]FINAL - resolved factor loading'!AV10</f>
        <v>0.68</v>
      </c>
      <c r="BA10" s="100">
        <f>'[1]FINAL - resolved factor loading'!AW10</f>
        <v>0.17</v>
      </c>
      <c r="BC10" s="101">
        <f>'[1]FINAL - resolved factor loading'!AY10</f>
        <v>374</v>
      </c>
      <c r="BE10" s="100">
        <f>'[1]FINAL - resolved factor loading'!BA10</f>
        <v>0.75</v>
      </c>
      <c r="BF10" s="100">
        <f>'[1]FINAL - resolved factor loading'!BB10</f>
        <v>0.66</v>
      </c>
      <c r="BH10" s="101">
        <f>'[1]FINAL - resolved factor loading'!BD10</f>
        <v>663</v>
      </c>
      <c r="BJ10" s="100">
        <f>'[1]FINAL - resolved factor loading'!BF10</f>
        <v>0.27</v>
      </c>
      <c r="BK10" s="100">
        <f>'[1]FINAL - resolved factor loading'!BG10</f>
        <v>0.21</v>
      </c>
      <c r="BM10" s="101">
        <f>'[1]FINAL - resolved factor loading'!BI10</f>
        <v>696</v>
      </c>
      <c r="BO10" s="100">
        <f>'[1]FINAL - resolved factor loading'!BK10</f>
        <v>0.4</v>
      </c>
      <c r="BP10" s="100">
        <f>'[1]FINAL - resolved factor loading'!BL10</f>
        <v>0.76</v>
      </c>
      <c r="BR10" s="101">
        <f>'[1]FINAL - resolved factor loading'!BN10</f>
        <v>706</v>
      </c>
      <c r="BT10">
        <f>'[1]FINAL - resolved factor loading'!BP10</f>
        <v>0.4</v>
      </c>
      <c r="BU10">
        <f>'[1]FINAL - resolved factor loading'!BQ10</f>
        <v>-0.27</v>
      </c>
      <c r="BW10" s="100">
        <f>'[1]FINAL - resolved factor loading'!BS10</f>
        <v>220</v>
      </c>
    </row>
    <row r="11" spans="1:75">
      <c r="B11" t="s">
        <v>220</v>
      </c>
      <c r="G11" s="100" t="str">
        <f>'[1]FINAL - resolved factor loading'!C11</f>
        <v xml:space="preserve"> - </v>
      </c>
      <c r="K11" s="101"/>
      <c r="O11" s="101"/>
      <c r="P11" s="101"/>
      <c r="T11" s="102"/>
      <c r="V11" s="100"/>
      <c r="AA11" s="100"/>
      <c r="AF11" s="100"/>
      <c r="AK11" s="100"/>
      <c r="AP11" s="100"/>
      <c r="AU11" s="100"/>
      <c r="AZ11" s="100"/>
      <c r="BE11" s="100"/>
      <c r="BJ11" s="100"/>
      <c r="BO11" s="100"/>
      <c r="BW11" s="100"/>
    </row>
    <row r="12" spans="1:75">
      <c r="A12">
        <v>8</v>
      </c>
      <c r="B12" t="s">
        <v>239</v>
      </c>
      <c r="G12" s="100">
        <f>'[1]FINAL - resolved factor loading'!C12</f>
        <v>0.61499999999999999</v>
      </c>
      <c r="I12" s="100">
        <f>'[1]FINAL - resolved factor loading'!E12</f>
        <v>0.53300000000000003</v>
      </c>
      <c r="J12" s="101">
        <f>J10</f>
        <v>758</v>
      </c>
      <c r="K12" s="101"/>
      <c r="L12" s="100">
        <f>'[1]FINAL - resolved factor loading'!H12</f>
        <v>0.67</v>
      </c>
      <c r="N12" s="100">
        <f>'[1]FINAL - resolved factor loading'!J12</f>
        <v>0.18</v>
      </c>
      <c r="O12" s="101">
        <f>'[1]FINAL - resolved factor loading'!K12</f>
        <v>354</v>
      </c>
      <c r="P12" s="101"/>
      <c r="Q12" s="100">
        <f>'[1]FINAL - resolved factor loading'!M12</f>
        <v>0.82</v>
      </c>
      <c r="S12" s="100">
        <f>'[1]FINAL - resolved factor loading'!O12</f>
        <v>0.24</v>
      </c>
      <c r="T12" s="102">
        <f>'[1]FINAL - resolved factor loading'!P12</f>
        <v>353</v>
      </c>
      <c r="V12" s="100">
        <f>'[1]FINAL - resolved factor loading'!R12</f>
        <v>0.39</v>
      </c>
      <c r="X12" s="100">
        <f>'[1]FINAL - resolved factor loading'!T12</f>
        <v>-0.27</v>
      </c>
      <c r="Y12" s="101">
        <f>'[1]FINAL - resolved factor loading'!U12</f>
        <v>288</v>
      </c>
      <c r="AA12" s="100">
        <f>'[1]FINAL - resolved factor loading'!W12</f>
        <v>0.7</v>
      </c>
      <c r="AC12" s="100">
        <f>'[1]FINAL - resolved factor loading'!Y12</f>
        <v>0.17</v>
      </c>
      <c r="AD12" s="101">
        <f>'[1]FINAL - resolved factor loading'!Z12</f>
        <v>463</v>
      </c>
      <c r="AF12" s="100">
        <f>'[1]FINAL - resolved factor loading'!AB12</f>
        <v>0.56000000000000005</v>
      </c>
      <c r="AH12" s="100">
        <f>'[1]FINAL - resolved factor loading'!AD12</f>
        <v>0.42</v>
      </c>
      <c r="AI12" s="101">
        <f>'[1]FINAL - resolved factor loading'!AE12</f>
        <v>609</v>
      </c>
      <c r="AK12" s="100">
        <f>'[1]FINAL - resolved factor loading'!AG12</f>
        <v>0.79</v>
      </c>
      <c r="AM12" s="100">
        <f>'[1]FINAL - resolved factor loading'!AI12</f>
        <v>0.15</v>
      </c>
      <c r="AN12" s="101">
        <f>'[1]FINAL - resolved factor loading'!AJ12</f>
        <v>506</v>
      </c>
      <c r="AP12" s="100">
        <f>'[1]FINAL - resolved factor loading'!AL12</f>
        <v>0.72</v>
      </c>
      <c r="AR12" s="100">
        <f>'[1]FINAL - resolved factor loading'!AN12</f>
        <v>0.25</v>
      </c>
      <c r="AS12" s="101">
        <f>'[1]FINAL - resolved factor loading'!AO12</f>
        <v>524</v>
      </c>
      <c r="AU12" s="100">
        <f>'[1]FINAL - resolved factor loading'!AQ12</f>
        <v>0.62</v>
      </c>
      <c r="AW12" s="100">
        <f>'[1]FINAL - resolved factor loading'!AS12</f>
        <v>0.32</v>
      </c>
      <c r="AX12" s="101">
        <f>'[1]FINAL - resolved factor loading'!AT12</f>
        <v>212</v>
      </c>
      <c r="AZ12" s="100">
        <f>'[1]FINAL - resolved factor loading'!AV12</f>
        <v>0.79</v>
      </c>
      <c r="BB12" s="100">
        <f>'[1]FINAL - resolved factor loading'!AX12</f>
        <v>0.34</v>
      </c>
      <c r="BC12" s="101">
        <f>'[1]FINAL - resolved factor loading'!AY12</f>
        <v>374</v>
      </c>
      <c r="BE12" s="100">
        <f>'[1]FINAL - resolved factor loading'!BA12</f>
        <v>0.72</v>
      </c>
      <c r="BG12" s="100">
        <f>'[1]FINAL - resolved factor loading'!BC12</f>
        <v>0.24</v>
      </c>
      <c r="BH12" s="101">
        <f>'[1]FINAL - resolved factor loading'!BD12</f>
        <v>663</v>
      </c>
      <c r="BJ12" s="100">
        <f>'[1]FINAL - resolved factor loading'!BF12</f>
        <v>0.71</v>
      </c>
      <c r="BL12" s="100">
        <f>'[1]FINAL - resolved factor loading'!BH12</f>
        <v>-0.23</v>
      </c>
      <c r="BM12" s="101">
        <f>'[1]FINAL - resolved factor loading'!BI12</f>
        <v>696</v>
      </c>
      <c r="BO12" s="100">
        <f>'[1]FINAL - resolved factor loading'!BK12</f>
        <v>0.78</v>
      </c>
      <c r="BQ12" s="100">
        <f>'[1]FINAL - resolved factor loading'!BM12</f>
        <v>-0.17</v>
      </c>
      <c r="BR12" s="101">
        <f>'[1]FINAL - resolved factor loading'!BN12</f>
        <v>706</v>
      </c>
      <c r="BT12">
        <f>'[1]FINAL - resolved factor loading'!BP12</f>
        <v>0.44</v>
      </c>
      <c r="BV12" s="100">
        <f>'[1]FINAL - resolved factor loading'!BR12</f>
        <v>0.3</v>
      </c>
      <c r="BW12" s="100">
        <f>'[1]FINAL - resolved factor loading'!BS12</f>
        <v>220</v>
      </c>
    </row>
    <row r="13" spans="1:75">
      <c r="A13">
        <v>9</v>
      </c>
      <c r="B13" t="s">
        <v>240</v>
      </c>
      <c r="G13" s="100">
        <f>'[1]FINAL - resolved factor loading'!C13</f>
        <v>0.59299999999999997</v>
      </c>
      <c r="I13" s="100">
        <f>'[1]FINAL - resolved factor loading'!E13</f>
        <v>0.66600000000000004</v>
      </c>
      <c r="J13" s="101">
        <f>J12</f>
        <v>758</v>
      </c>
      <c r="K13" s="101"/>
      <c r="L13" s="100">
        <f>'[1]FINAL - resolved factor loading'!H13</f>
        <v>0.63</v>
      </c>
      <c r="N13" s="100">
        <f>'[1]FINAL - resolved factor loading'!J13</f>
        <v>0.26</v>
      </c>
      <c r="O13" s="101">
        <f>'[1]FINAL - resolved factor loading'!K13</f>
        <v>354</v>
      </c>
      <c r="P13" s="101"/>
      <c r="Q13" s="100">
        <f>'[1]FINAL - resolved factor loading'!M13</f>
        <v>0.72</v>
      </c>
      <c r="S13" s="100">
        <f>'[1]FINAL - resolved factor loading'!O13</f>
        <v>0.5</v>
      </c>
      <c r="T13" s="102">
        <f>'[1]FINAL - resolved factor loading'!P13</f>
        <v>353</v>
      </c>
      <c r="V13" s="100">
        <f>'[1]FINAL - resolved factor loading'!R13</f>
        <v>0.68</v>
      </c>
      <c r="X13" s="100">
        <f>'[1]FINAL - resolved factor loading'!T13</f>
        <v>0.49</v>
      </c>
      <c r="Y13" s="101">
        <f>'[1]FINAL - resolved factor loading'!U13</f>
        <v>288</v>
      </c>
      <c r="AA13" s="100">
        <f>'[1]FINAL - resolved factor loading'!W13</f>
        <v>0.7</v>
      </c>
      <c r="AC13" s="100">
        <f>'[1]FINAL - resolved factor loading'!Y13</f>
        <v>0.49</v>
      </c>
      <c r="AD13" s="101">
        <f>'[1]FINAL - resolved factor loading'!Z13</f>
        <v>463</v>
      </c>
      <c r="AF13" s="100">
        <f>'[1]FINAL - resolved factor loading'!AB13</f>
        <v>0.45</v>
      </c>
      <c r="AH13" s="100">
        <f>'[1]FINAL - resolved factor loading'!AD13</f>
        <v>0.67</v>
      </c>
      <c r="AI13" s="101">
        <f>'[1]FINAL - resolved factor loading'!AE13</f>
        <v>609</v>
      </c>
      <c r="AK13" s="100">
        <f>'[1]FINAL - resolved factor loading'!AG13</f>
        <v>0.72</v>
      </c>
      <c r="AM13" s="100">
        <f>'[1]FINAL - resolved factor loading'!AI13</f>
        <v>0.55000000000000004</v>
      </c>
      <c r="AN13" s="101">
        <f>'[1]FINAL - resolved factor loading'!AJ13</f>
        <v>506</v>
      </c>
      <c r="AP13" s="100">
        <f>'[1]FINAL - resolved factor loading'!AL13</f>
        <v>0.61</v>
      </c>
      <c r="AR13" s="100">
        <f>'[1]FINAL - resolved factor loading'!AN13</f>
        <v>0.72</v>
      </c>
      <c r="AS13" s="101">
        <f>'[1]FINAL - resolved factor loading'!AO13</f>
        <v>524</v>
      </c>
      <c r="AU13" s="100">
        <f>'[1]FINAL - resolved factor loading'!AQ13</f>
        <v>0.66</v>
      </c>
      <c r="AW13" s="100">
        <f>'[1]FINAL - resolved factor loading'!AS13</f>
        <v>0.34</v>
      </c>
      <c r="AX13" s="101">
        <f>'[1]FINAL - resolved factor loading'!AT13</f>
        <v>212</v>
      </c>
      <c r="AZ13" s="100">
        <f>'[1]FINAL - resolved factor loading'!AV13</f>
        <v>0.69</v>
      </c>
      <c r="BB13" s="100">
        <f>'[1]FINAL - resolved factor loading'!AX13</f>
        <v>0.55000000000000004</v>
      </c>
      <c r="BC13" s="101">
        <f>'[1]FINAL - resolved factor loading'!AY13</f>
        <v>374</v>
      </c>
      <c r="BE13" s="100">
        <f>'[1]FINAL - resolved factor loading'!BA13</f>
        <v>0.71</v>
      </c>
      <c r="BG13" s="100">
        <f>'[1]FINAL - resolved factor loading'!BC13</f>
        <v>0.55000000000000004</v>
      </c>
      <c r="BH13" s="101">
        <f>'[1]FINAL - resolved factor loading'!BD13</f>
        <v>663</v>
      </c>
      <c r="BJ13" s="100">
        <f>'[1]FINAL - resolved factor loading'!BF13</f>
        <v>0.55000000000000004</v>
      </c>
      <c r="BL13" s="100">
        <f>'[1]FINAL - resolved factor loading'!BH13</f>
        <v>0.4</v>
      </c>
      <c r="BM13" s="101">
        <f>'[1]FINAL - resolved factor loading'!BI13</f>
        <v>696</v>
      </c>
      <c r="BO13" s="100">
        <f>'[1]FINAL - resolved factor loading'!BK13</f>
        <v>0.68</v>
      </c>
      <c r="BQ13" s="100">
        <f>'[1]FINAL - resolved factor loading'!BM13</f>
        <v>0.21</v>
      </c>
      <c r="BR13" s="101">
        <f>'[1]FINAL - resolved factor loading'!BN13</f>
        <v>706</v>
      </c>
      <c r="BT13">
        <f>'[1]FINAL - resolved factor loading'!BP13</f>
        <v>0.56999999999999995</v>
      </c>
      <c r="BV13" s="100">
        <f>'[1]FINAL - resolved factor loading'!BR13</f>
        <v>0.4</v>
      </c>
      <c r="BW13" s="100">
        <f>'[1]FINAL - resolved factor loading'!BS13</f>
        <v>220</v>
      </c>
    </row>
    <row r="14" spans="1:75">
      <c r="A14">
        <v>10</v>
      </c>
      <c r="B14" t="s">
        <v>241</v>
      </c>
      <c r="G14" s="100">
        <f>'[1]FINAL - resolved factor loading'!C14</f>
        <v>0.66100000000000003</v>
      </c>
      <c r="I14" s="100">
        <f>'[1]FINAL - resolved factor loading'!E14</f>
        <v>0.436</v>
      </c>
      <c r="J14" s="101">
        <f>J13</f>
        <v>758</v>
      </c>
      <c r="K14" s="101"/>
      <c r="L14" s="100">
        <f>'[1]FINAL - resolved factor loading'!H14</f>
        <v>0.62</v>
      </c>
      <c r="N14" s="100">
        <f>'[1]FINAL - resolved factor loading'!J14</f>
        <v>0.32</v>
      </c>
      <c r="O14" s="101">
        <f>'[1]FINAL - resolved factor loading'!K14</f>
        <v>354</v>
      </c>
      <c r="P14" s="101"/>
      <c r="Q14" s="100">
        <f>'[1]FINAL - resolved factor loading'!M14</f>
        <v>0.79</v>
      </c>
      <c r="S14" s="100">
        <f>'[1]FINAL - resolved factor loading'!O14</f>
        <v>0.44</v>
      </c>
      <c r="T14" s="102">
        <f>'[1]FINAL - resolved factor loading'!P14</f>
        <v>353</v>
      </c>
      <c r="V14" s="100">
        <f>'[1]FINAL - resolved factor loading'!R14</f>
        <v>0.7</v>
      </c>
      <c r="X14" s="100">
        <f>'[1]FINAL - resolved factor loading'!T14</f>
        <v>0.44</v>
      </c>
      <c r="Y14" s="101">
        <f>'[1]FINAL - resolved factor loading'!U14</f>
        <v>288</v>
      </c>
      <c r="AA14" s="100">
        <f>'[1]FINAL - resolved factor loading'!W14</f>
        <v>0.69</v>
      </c>
      <c r="AC14" s="100">
        <f>'[1]FINAL - resolved factor loading'!Y14</f>
        <v>0.6</v>
      </c>
      <c r="AD14" s="101">
        <f>'[1]FINAL - resolved factor loading'!Z14</f>
        <v>463</v>
      </c>
      <c r="AF14" s="100">
        <f>'[1]FINAL - resolved factor loading'!AB14</f>
        <v>0.47</v>
      </c>
      <c r="AH14" s="100">
        <f>'[1]FINAL - resolved factor loading'!AD14</f>
        <v>0.5</v>
      </c>
      <c r="AI14" s="101">
        <f>'[1]FINAL - resolved factor loading'!AE14</f>
        <v>609</v>
      </c>
      <c r="AK14" s="100">
        <f>'[1]FINAL - resolved factor loading'!AG14</f>
        <v>0.74</v>
      </c>
      <c r="AM14" s="100">
        <f>'[1]FINAL - resolved factor loading'!AI14</f>
        <v>0.44</v>
      </c>
      <c r="AN14" s="101">
        <f>'[1]FINAL - resolved factor loading'!AJ14</f>
        <v>506</v>
      </c>
      <c r="AP14" s="100">
        <f>'[1]FINAL - resolved factor loading'!AL14</f>
        <v>0.7</v>
      </c>
      <c r="AR14" s="100">
        <f>'[1]FINAL - resolved factor loading'!AN14</f>
        <v>0.56000000000000005</v>
      </c>
      <c r="AS14" s="101">
        <f>'[1]FINAL - resolved factor loading'!AO14</f>
        <v>524</v>
      </c>
      <c r="AU14" s="100">
        <f>'[1]FINAL - resolved factor loading'!AQ14</f>
        <v>0.67</v>
      </c>
      <c r="AW14" s="100">
        <f>'[1]FINAL - resolved factor loading'!AS14</f>
        <v>0.35</v>
      </c>
      <c r="AX14" s="101">
        <f>'[1]FINAL - resolved factor loading'!AT14</f>
        <v>212</v>
      </c>
      <c r="AZ14" s="100">
        <f>'[1]FINAL - resolved factor loading'!AV14</f>
        <v>0.77</v>
      </c>
      <c r="BB14" s="100">
        <f>'[1]FINAL - resolved factor loading'!AX14</f>
        <v>0.4</v>
      </c>
      <c r="BC14" s="101">
        <f>'[1]FINAL - resolved factor loading'!AY14</f>
        <v>374</v>
      </c>
      <c r="BE14" s="100">
        <f>'[1]FINAL - resolved factor loading'!BA14</f>
        <v>0.7</v>
      </c>
      <c r="BG14" s="100">
        <f>'[1]FINAL - resolved factor loading'!BC14</f>
        <v>0.56000000000000005</v>
      </c>
      <c r="BH14" s="101">
        <f>'[1]FINAL - resolved factor loading'!BD14</f>
        <v>663</v>
      </c>
      <c r="BJ14" s="100">
        <f>'[1]FINAL - resolved factor loading'!BF14</f>
        <v>0.56000000000000005</v>
      </c>
      <c r="BL14" s="100">
        <f>'[1]FINAL - resolved factor loading'!BH14</f>
        <v>0.36</v>
      </c>
      <c r="BM14" s="101">
        <f>'[1]FINAL - resolved factor loading'!BI14</f>
        <v>696</v>
      </c>
      <c r="BO14" s="100">
        <f>'[1]FINAL - resolved factor loading'!BK14</f>
        <v>0.7</v>
      </c>
      <c r="BQ14" s="100">
        <f>'[1]FINAL - resolved factor loading'!BM14</f>
        <v>0.2</v>
      </c>
      <c r="BR14" s="101">
        <f>'[1]FINAL - resolved factor loading'!BN14</f>
        <v>706</v>
      </c>
      <c r="BT14">
        <f>'[1]FINAL - resolved factor loading'!BP14</f>
        <v>0.57999999999999996</v>
      </c>
      <c r="BV14" s="100">
        <f>'[1]FINAL - resolved factor loading'!BR14</f>
        <v>0.37</v>
      </c>
      <c r="BW14" s="100">
        <f>'[1]FINAL - resolved factor loading'!BS14</f>
        <v>220</v>
      </c>
    </row>
    <row r="15" spans="1:75">
      <c r="A15">
        <v>11</v>
      </c>
      <c r="B15" t="s">
        <v>242</v>
      </c>
      <c r="G15" s="100">
        <f>'[1]FINAL - resolved factor loading'!C15</f>
        <v>0.57999999999999996</v>
      </c>
      <c r="I15" s="100">
        <f>'[1]FINAL - resolved factor loading'!E15</f>
        <v>0.57999999999999996</v>
      </c>
      <c r="J15" s="101">
        <f>J14</f>
        <v>758</v>
      </c>
      <c r="K15" s="101"/>
      <c r="L15" s="100">
        <f>'[1]FINAL - resolved factor loading'!H15</f>
        <v>0.68</v>
      </c>
      <c r="N15" s="100">
        <f>'[1]FINAL - resolved factor loading'!J15</f>
        <v>0.3</v>
      </c>
      <c r="O15" s="101">
        <f>'[1]FINAL - resolved factor loading'!K15</f>
        <v>354</v>
      </c>
      <c r="P15" s="101"/>
      <c r="Q15" s="100">
        <f>'[1]FINAL - resolved factor loading'!M15</f>
        <v>0.74</v>
      </c>
      <c r="S15" s="100">
        <f>'[1]FINAL - resolved factor loading'!O15</f>
        <v>0.51</v>
      </c>
      <c r="T15" s="102">
        <f>'[1]FINAL - resolved factor loading'!P15</f>
        <v>353</v>
      </c>
      <c r="V15" s="100">
        <f>'[1]FINAL - resolved factor loading'!R15</f>
        <v>0.69</v>
      </c>
      <c r="X15" s="100">
        <f>'[1]FINAL - resolved factor loading'!T15</f>
        <v>0.35</v>
      </c>
      <c r="Y15" s="101">
        <f>'[1]FINAL - resolved factor loading'!U15</f>
        <v>288</v>
      </c>
      <c r="AA15" s="100">
        <f>'[1]FINAL - resolved factor loading'!W15</f>
        <v>0.71</v>
      </c>
      <c r="AC15" s="100">
        <f>'[1]FINAL - resolved factor loading'!Y15</f>
        <v>0.28000000000000003</v>
      </c>
      <c r="AD15" s="101">
        <f>'[1]FINAL - resolved factor loading'!Z15</f>
        <v>463</v>
      </c>
      <c r="AF15" s="100">
        <f>'[1]FINAL - resolved factor loading'!AB15</f>
        <v>0.46</v>
      </c>
      <c r="AH15" s="100">
        <f>'[1]FINAL - resolved factor loading'!AD15</f>
        <v>0.59</v>
      </c>
      <c r="AI15" s="101">
        <f>'[1]FINAL - resolved factor loading'!AE15</f>
        <v>609</v>
      </c>
      <c r="AK15" s="100">
        <f>'[1]FINAL - resolved factor loading'!AG15</f>
        <v>0.72</v>
      </c>
      <c r="AM15" s="100">
        <f>'[1]FINAL - resolved factor loading'!AI15</f>
        <v>0.34</v>
      </c>
      <c r="AN15" s="101">
        <f>'[1]FINAL - resolved factor loading'!AJ15</f>
        <v>506</v>
      </c>
      <c r="AP15" s="100">
        <f>'[1]FINAL - resolved factor loading'!AL15</f>
        <v>0.69</v>
      </c>
      <c r="AR15" s="100">
        <f>'[1]FINAL - resolved factor loading'!AN15</f>
        <v>0.38</v>
      </c>
      <c r="AS15" s="101">
        <f>'[1]FINAL - resolved factor loading'!AO15</f>
        <v>524</v>
      </c>
      <c r="AU15" s="100">
        <f>'[1]FINAL - resolved factor loading'!AQ15</f>
        <v>0.66</v>
      </c>
      <c r="AW15" s="100">
        <f>'[1]FINAL - resolved factor loading'!AS15</f>
        <v>0.34</v>
      </c>
      <c r="AX15" s="101">
        <f>'[1]FINAL - resolved factor loading'!AT15</f>
        <v>212</v>
      </c>
      <c r="AZ15" s="100">
        <f>'[1]FINAL - resolved factor loading'!AV15</f>
        <v>0.66</v>
      </c>
      <c r="BB15" s="100">
        <f>'[1]FINAL - resolved factor loading'!AX15</f>
        <v>0.45</v>
      </c>
      <c r="BC15" s="101">
        <f>'[1]FINAL - resolved factor loading'!AY15</f>
        <v>374</v>
      </c>
      <c r="BE15" s="100">
        <f>'[1]FINAL - resolved factor loading'!BA15</f>
        <v>0.68</v>
      </c>
      <c r="BG15" s="100">
        <f>'[1]FINAL - resolved factor loading'!BC15</f>
        <v>0.38</v>
      </c>
      <c r="BH15" s="101">
        <f>'[1]FINAL - resolved factor loading'!BD15</f>
        <v>663</v>
      </c>
      <c r="BJ15" s="100">
        <f>'[1]FINAL - resolved factor loading'!BF15</f>
        <v>0.4</v>
      </c>
      <c r="BL15" s="100">
        <f>'[1]FINAL - resolved factor loading'!BH15</f>
        <v>0.35</v>
      </c>
      <c r="BM15" s="101">
        <f>'[1]FINAL - resolved factor loading'!BI15</f>
        <v>696</v>
      </c>
      <c r="BO15" s="100">
        <f>'[1]FINAL - resolved factor loading'!BK15</f>
        <v>0.57999999999999996</v>
      </c>
      <c r="BQ15" s="100">
        <f>'[1]FINAL - resolved factor loading'!BM15</f>
        <v>0.22</v>
      </c>
      <c r="BR15" s="101">
        <f>'[1]FINAL - resolved factor loading'!BN15</f>
        <v>706</v>
      </c>
      <c r="BT15">
        <f>'[1]FINAL - resolved factor loading'!BP15</f>
        <v>0.46</v>
      </c>
      <c r="BV15" s="100">
        <f>'[1]FINAL - resolved factor loading'!BR15</f>
        <v>0.48</v>
      </c>
      <c r="BW15" s="100">
        <f>'[1]FINAL - resolved factor loading'!BS15</f>
        <v>220</v>
      </c>
    </row>
    <row r="16" spans="1:75">
      <c r="A16">
        <v>12</v>
      </c>
      <c r="B16" t="s">
        <v>243</v>
      </c>
      <c r="G16" s="100">
        <f>'[1]FINAL - resolved factor loading'!C16</f>
        <v>0.63300000000000001</v>
      </c>
      <c r="I16" s="100">
        <f>'[1]FINAL - resolved factor loading'!E16</f>
        <v>0.39200000000000002</v>
      </c>
      <c r="J16" s="101">
        <f>J15</f>
        <v>758</v>
      </c>
      <c r="K16" s="101"/>
      <c r="L16" s="100">
        <f>'[1]FINAL - resolved factor loading'!H16</f>
        <v>0.72</v>
      </c>
      <c r="N16" s="100">
        <f>'[1]FINAL - resolved factor loading'!J16</f>
        <v>-0.06</v>
      </c>
      <c r="O16" s="101">
        <f>'[1]FINAL - resolved factor loading'!K16</f>
        <v>354</v>
      </c>
      <c r="P16" s="101"/>
      <c r="Q16" s="100">
        <f>'[1]FINAL - resolved factor loading'!M16</f>
        <v>0.76</v>
      </c>
      <c r="S16" s="100">
        <f>'[1]FINAL - resolved factor loading'!O16</f>
        <v>0.39</v>
      </c>
      <c r="T16" s="102">
        <f>'[1]FINAL - resolved factor loading'!P16</f>
        <v>353</v>
      </c>
      <c r="V16" s="100">
        <f>'[1]FINAL - resolved factor loading'!R16</f>
        <v>0.75</v>
      </c>
      <c r="X16" s="100">
        <f>'[1]FINAL - resolved factor loading'!T16</f>
        <v>0.24</v>
      </c>
      <c r="Y16" s="101">
        <f>'[1]FINAL - resolved factor loading'!U16</f>
        <v>288</v>
      </c>
      <c r="AA16" s="100">
        <f>'[1]FINAL - resolved factor loading'!W16</f>
        <v>0.8</v>
      </c>
      <c r="AC16" s="100">
        <f>'[1]FINAL - resolved factor loading'!Y16</f>
        <v>0.1</v>
      </c>
      <c r="AD16" s="101">
        <f>'[1]FINAL - resolved factor loading'!Z16</f>
        <v>463</v>
      </c>
      <c r="AF16" s="100">
        <f>'[1]FINAL - resolved factor loading'!AB16</f>
        <v>0.52</v>
      </c>
      <c r="AH16" s="100">
        <f>'[1]FINAL - resolved factor loading'!AD16</f>
        <v>0.36</v>
      </c>
      <c r="AI16" s="101">
        <f>'[1]FINAL - resolved factor loading'!AE16</f>
        <v>609</v>
      </c>
      <c r="AK16" s="100">
        <f>'[1]FINAL - resolved factor loading'!AG16</f>
        <v>0.82</v>
      </c>
      <c r="AM16" s="100">
        <f>'[1]FINAL - resolved factor loading'!AI16</f>
        <v>0.16</v>
      </c>
      <c r="AN16" s="101">
        <f>'[1]FINAL - resolved factor loading'!AJ16</f>
        <v>506</v>
      </c>
      <c r="AP16" s="100">
        <f>'[1]FINAL - resolved factor loading'!AL16</f>
        <v>0.78</v>
      </c>
      <c r="AR16" s="100">
        <f>'[1]FINAL - resolved factor loading'!AN16</f>
        <v>0.18</v>
      </c>
      <c r="AS16" s="101">
        <f>'[1]FINAL - resolved factor loading'!AO16</f>
        <v>524</v>
      </c>
      <c r="AU16" s="100">
        <f>'[1]FINAL - resolved factor loading'!AQ16</f>
        <v>0.7</v>
      </c>
      <c r="AW16" s="100">
        <f>'[1]FINAL - resolved factor loading'!AS16</f>
        <v>0.37</v>
      </c>
      <c r="AX16" s="101">
        <f>'[1]FINAL - resolved factor loading'!AT16</f>
        <v>212</v>
      </c>
      <c r="AZ16" s="100">
        <f>'[1]FINAL - resolved factor loading'!AV16</f>
        <v>0.77</v>
      </c>
      <c r="BB16" s="100">
        <f>'[1]FINAL - resolved factor loading'!AX16</f>
        <v>0.3</v>
      </c>
      <c r="BC16" s="101">
        <f>'[1]FINAL - resolved factor loading'!AY16</f>
        <v>374</v>
      </c>
      <c r="BE16" s="100">
        <f>'[1]FINAL - resolved factor loading'!BA16</f>
        <v>0.8</v>
      </c>
      <c r="BG16" s="100">
        <f>'[1]FINAL - resolved factor loading'!BC16</f>
        <v>0.17</v>
      </c>
      <c r="BH16" s="101">
        <f>'[1]FINAL - resolved factor loading'!BD16</f>
        <v>663</v>
      </c>
      <c r="BJ16" s="100">
        <f>'[1]FINAL - resolved factor loading'!BF16</f>
        <v>0.56999999999999995</v>
      </c>
      <c r="BL16" s="100">
        <f>'[1]FINAL - resolved factor loading'!BH16</f>
        <v>0</v>
      </c>
      <c r="BM16" s="101">
        <f>'[1]FINAL - resolved factor loading'!BI16</f>
        <v>696</v>
      </c>
      <c r="BO16" s="100">
        <f>'[1]FINAL - resolved factor loading'!BK16</f>
        <v>0.67</v>
      </c>
      <c r="BQ16" s="100">
        <f>'[1]FINAL - resolved factor loading'!BM16</f>
        <v>0.05</v>
      </c>
      <c r="BR16" s="101">
        <f>'[1]FINAL - resolved factor loading'!BN16</f>
        <v>706</v>
      </c>
      <c r="BT16">
        <f>'[1]FINAL - resolved factor loading'!BP16</f>
        <v>0.56999999999999995</v>
      </c>
      <c r="BV16" s="100">
        <f>'[1]FINAL - resolved factor loading'!BR16</f>
        <v>0.3</v>
      </c>
      <c r="BW16" s="100">
        <f>'[1]FINAL - resolved factor loading'!BS16</f>
        <v>220</v>
      </c>
    </row>
    <row r="18" spans="1:75" s="1" customFormat="1">
      <c r="C18" s="211" t="s">
        <v>262</v>
      </c>
      <c r="D18" s="211"/>
      <c r="E18" s="211"/>
      <c r="G18" s="212" t="s">
        <v>263</v>
      </c>
      <c r="H18" s="212"/>
      <c r="I18" s="212"/>
      <c r="J18" s="98"/>
      <c r="K18" s="99"/>
      <c r="L18" s="212" t="s">
        <v>263</v>
      </c>
      <c r="M18" s="212"/>
      <c r="N18" s="212"/>
      <c r="O18" s="98"/>
      <c r="P18" s="99"/>
      <c r="Q18" s="212" t="s">
        <v>263</v>
      </c>
      <c r="R18" s="212"/>
      <c r="S18" s="212"/>
      <c r="T18" s="98"/>
      <c r="V18" s="1" t="s">
        <v>263</v>
      </c>
      <c r="Y18" s="98"/>
      <c r="AA18" s="1" t="s">
        <v>263</v>
      </c>
      <c r="AD18" s="98"/>
      <c r="AF18" s="1" t="s">
        <v>263</v>
      </c>
      <c r="AI18" s="98"/>
      <c r="AK18" s="1" t="s">
        <v>263</v>
      </c>
      <c r="AN18" s="98"/>
      <c r="AP18" s="1" t="s">
        <v>263</v>
      </c>
      <c r="AS18" s="98"/>
      <c r="AU18" s="1" t="s">
        <v>263</v>
      </c>
      <c r="AX18" s="98"/>
      <c r="AZ18" s="1" t="s">
        <v>263</v>
      </c>
      <c r="BC18" s="98"/>
      <c r="BE18" s="1" t="s">
        <v>263</v>
      </c>
      <c r="BH18" s="98"/>
      <c r="BJ18" s="1" t="s">
        <v>263</v>
      </c>
      <c r="BM18" s="98"/>
      <c r="BO18" s="1" t="s">
        <v>263</v>
      </c>
      <c r="BR18" s="98"/>
      <c r="BT18" s="1" t="s">
        <v>263</v>
      </c>
    </row>
    <row r="19" spans="1:75">
      <c r="A19">
        <v>1</v>
      </c>
      <c r="C19" s="100">
        <f>'[1]Weighted mean - calcs'!D4</f>
        <v>0.75248706512042818</v>
      </c>
      <c r="D19" s="100">
        <f>'[1]Weighted mean - calcs'!E4</f>
        <v>-9.2200257981296399E-2</v>
      </c>
      <c r="E19" s="100"/>
      <c r="G19" s="100">
        <f>C19-G4</f>
        <v>6.4870651204281815E-3</v>
      </c>
      <c r="H19" s="100">
        <f t="shared" ref="H19:I31" si="1">D19-H4</f>
        <v>8.9799742018703596E-2</v>
      </c>
      <c r="J19" s="101">
        <f>J16</f>
        <v>758</v>
      </c>
      <c r="L19" s="100">
        <f t="shared" ref="L19:L25" si="2">C19-L4</f>
        <v>0.11248706512042816</v>
      </c>
      <c r="M19" s="100">
        <f t="shared" ref="M19:M25" si="3">C19-M4</f>
        <v>0.97248706512042815</v>
      </c>
      <c r="O19" s="101">
        <f>O16</f>
        <v>354</v>
      </c>
      <c r="Q19" s="100">
        <f>C19-Q4</f>
        <v>-0.14751293487957184</v>
      </c>
      <c r="R19" s="100">
        <f>D19-R4</f>
        <v>8.7799742018703594E-2</v>
      </c>
      <c r="T19" s="101">
        <f>T16</f>
        <v>353</v>
      </c>
      <c r="V19" s="100">
        <f>C19-V4</f>
        <v>-2.7512934879571849E-2</v>
      </c>
      <c r="W19" s="100">
        <f>D19-W4</f>
        <v>-0.28220025798129639</v>
      </c>
      <c r="Y19" s="101">
        <f>Y16</f>
        <v>288</v>
      </c>
      <c r="AA19" s="100">
        <f>C19-AA4</f>
        <v>-1.751293487957184E-2</v>
      </c>
      <c r="AB19" s="100">
        <f>D19-AB4</f>
        <v>-1.2200257981296397E-2</v>
      </c>
      <c r="AD19" s="101">
        <f>AD16</f>
        <v>463</v>
      </c>
      <c r="AF19" s="100">
        <f>C19-AF4</f>
        <v>-4.7512934879571866E-2</v>
      </c>
      <c r="AG19" s="100">
        <f>D19-AG4</f>
        <v>0.41779974201870362</v>
      </c>
      <c r="AI19" s="101">
        <f>AI16</f>
        <v>609</v>
      </c>
      <c r="AK19" s="100">
        <f>C19-AK4</f>
        <v>3.2487065120428205E-2</v>
      </c>
      <c r="AL19" s="100">
        <f>D19-AL4</f>
        <v>-0.26220025798129643</v>
      </c>
      <c r="AN19" s="101">
        <f>AN16</f>
        <v>506</v>
      </c>
      <c r="AP19" s="100">
        <f>C19-AP4</f>
        <v>-2.7512934879571849E-2</v>
      </c>
      <c r="AS19" s="101">
        <f>AS16</f>
        <v>524</v>
      </c>
      <c r="AU19" s="100">
        <f>C19-AU4</f>
        <v>9.2487065120428147E-2</v>
      </c>
      <c r="AV19" s="100">
        <f>D19-AV4</f>
        <v>-0.32220025798129642</v>
      </c>
      <c r="AX19" s="101">
        <f>AX16</f>
        <v>212</v>
      </c>
      <c r="AZ19" s="100">
        <f>C19-AZ4</f>
        <v>-8.7512934879571791E-2</v>
      </c>
      <c r="BA19" s="100">
        <f>D19-BA4</f>
        <v>-0.10120025798129639</v>
      </c>
      <c r="BC19" s="101">
        <f>BC16</f>
        <v>374</v>
      </c>
      <c r="BE19" s="100">
        <f>C19-BE4</f>
        <v>-1.751293487957184E-2</v>
      </c>
      <c r="BF19" s="100">
        <f>D19-BF4</f>
        <v>7.7799742018703613E-2</v>
      </c>
      <c r="BH19" s="101">
        <f>BH16</f>
        <v>663</v>
      </c>
      <c r="BJ19" s="100">
        <f>C19-BJ4</f>
        <v>8.2487065120428138E-2</v>
      </c>
      <c r="BK19" s="100">
        <f>D19-BK4</f>
        <v>7.7997420187036065E-3</v>
      </c>
      <c r="BM19" s="101">
        <f>BM16</f>
        <v>696</v>
      </c>
      <c r="BO19" s="100">
        <f>C19-BO4</f>
        <v>-4.7512934879571866E-2</v>
      </c>
      <c r="BP19" s="100">
        <f>D19-BP4</f>
        <v>-9.6200257981296403E-2</v>
      </c>
      <c r="BR19" s="101">
        <f>BR16</f>
        <v>706</v>
      </c>
      <c r="BT19" s="100">
        <f>C19-BT4</f>
        <v>0.23248706512042816</v>
      </c>
      <c r="BU19" s="100">
        <f>D19-BU4</f>
        <v>-0.28220025798129639</v>
      </c>
      <c r="BW19" s="100">
        <f>BW4</f>
        <v>220</v>
      </c>
    </row>
    <row r="20" spans="1:75">
      <c r="A20">
        <v>2</v>
      </c>
      <c r="C20" s="100">
        <f>'[1]Weighted mean - calcs'!D5</f>
        <v>0.68117543859649121</v>
      </c>
      <c r="D20" s="100">
        <f>'[1]Weighted mean - calcs'!E5</f>
        <v>0.11396033537568527</v>
      </c>
      <c r="E20" s="100"/>
      <c r="G20" s="100">
        <f t="shared" ref="G20:G31" si="4">C20-G5</f>
        <v>4.1754385964911656E-3</v>
      </c>
      <c r="H20" s="100">
        <f t="shared" si="1"/>
        <v>0.27996033537568527</v>
      </c>
      <c r="J20" s="101">
        <f>J19</f>
        <v>758</v>
      </c>
      <c r="L20" s="100">
        <f t="shared" si="2"/>
        <v>2.1175438596491181E-2</v>
      </c>
      <c r="M20" s="100">
        <f t="shared" si="3"/>
        <v>0.65117543859649119</v>
      </c>
      <c r="O20" s="101">
        <f>O19</f>
        <v>354</v>
      </c>
      <c r="Q20" s="100">
        <f t="shared" ref="Q20:R31" si="5">C20-Q5</f>
        <v>-0.14882456140350875</v>
      </c>
      <c r="R20" s="100">
        <f t="shared" si="5"/>
        <v>3.3960335375685269E-2</v>
      </c>
      <c r="T20" s="101">
        <f>T19</f>
        <v>353</v>
      </c>
      <c r="V20" s="100">
        <f t="shared" ref="V20:W31" si="6">C20-V5</f>
        <v>-3.8824561403508762E-2</v>
      </c>
      <c r="W20" s="100">
        <f t="shared" si="6"/>
        <v>-0.29603966462431469</v>
      </c>
      <c r="Y20" s="101">
        <f>Y19</f>
        <v>288</v>
      </c>
      <c r="AA20" s="100">
        <f t="shared" ref="AA20:AB31" si="7">C20-AA5</f>
        <v>6.1175438596491216E-2</v>
      </c>
      <c r="AB20" s="100">
        <f t="shared" si="7"/>
        <v>-8.6039664624314741E-2</v>
      </c>
      <c r="AD20" s="101">
        <f>AD19</f>
        <v>463</v>
      </c>
      <c r="AF20" s="100">
        <f t="shared" ref="AF20:AG31" si="8">C20-AF5</f>
        <v>1.1754385964911629E-3</v>
      </c>
      <c r="AG20" s="100">
        <f t="shared" si="8"/>
        <v>0.10396033537568528</v>
      </c>
      <c r="AI20" s="101">
        <f>AI19</f>
        <v>609</v>
      </c>
      <c r="AK20" s="100">
        <f t="shared" ref="AK20:AL31" si="9">C20-AK5</f>
        <v>0.11117543859649126</v>
      </c>
      <c r="AL20" s="100">
        <f t="shared" si="9"/>
        <v>-0.82603966462431466</v>
      </c>
      <c r="AN20" s="101">
        <f>AN19</f>
        <v>506</v>
      </c>
      <c r="AP20" s="100">
        <f t="shared" ref="AP20:AP31" si="10">C20-AP5</f>
        <v>-4.882456140350877E-2</v>
      </c>
      <c r="AS20" s="101">
        <f>AS19</f>
        <v>524</v>
      </c>
      <c r="AU20" s="100">
        <f t="shared" ref="AU20:AV31" si="11">C20-AU5</f>
        <v>-8.824561403508735E-3</v>
      </c>
      <c r="AV20" s="100">
        <f t="shared" si="11"/>
        <v>-0.12603966462431471</v>
      </c>
      <c r="AX20" s="101">
        <f>AX19</f>
        <v>212</v>
      </c>
      <c r="AZ20" s="100">
        <f t="shared" ref="AZ20:BA31" si="12">C20-AZ5</f>
        <v>-7.8824561403508797E-2</v>
      </c>
      <c r="BA20" s="100">
        <f t="shared" si="12"/>
        <v>-6.0396646243147251E-3</v>
      </c>
      <c r="BC20" s="101">
        <f>BC19</f>
        <v>374</v>
      </c>
      <c r="BE20" s="100">
        <f t="shared" ref="BE20:BF31" si="13">C20-BE5</f>
        <v>-6.8824561403508788E-2</v>
      </c>
      <c r="BF20" s="100">
        <f t="shared" si="13"/>
        <v>9.3960335375685267E-2</v>
      </c>
      <c r="BH20" s="101">
        <f>BH19</f>
        <v>663</v>
      </c>
      <c r="BJ20" s="100">
        <f t="shared" ref="BJ20:BK31" si="14">C20-BJ5</f>
        <v>8.1175438596491234E-2</v>
      </c>
      <c r="BK20" s="100">
        <f t="shared" si="14"/>
        <v>0.14396033537568526</v>
      </c>
      <c r="BM20" s="101">
        <f>BM19</f>
        <v>696</v>
      </c>
      <c r="BO20" s="100">
        <f t="shared" ref="BO20:BP31" si="15">C20-BO5</f>
        <v>-8.824561403508735E-3</v>
      </c>
      <c r="BP20" s="100">
        <f t="shared" si="15"/>
        <v>0.11396033537568527</v>
      </c>
      <c r="BR20" s="101">
        <f>BR19</f>
        <v>706</v>
      </c>
      <c r="BT20" s="100">
        <f t="shared" ref="BT20:BU31" si="16">C20-BT5</f>
        <v>9.1175438596491243E-2</v>
      </c>
      <c r="BU20" s="100">
        <f t="shared" si="16"/>
        <v>5.3960335375685273E-2</v>
      </c>
      <c r="BW20" s="100">
        <f t="shared" ref="BW20:BW31" si="17">BW5</f>
        <v>220</v>
      </c>
    </row>
    <row r="21" spans="1:75">
      <c r="A21">
        <v>3</v>
      </c>
      <c r="C21" s="100">
        <f>'[1]Weighted mean - calcs'!D6</f>
        <v>0.50042521558132624</v>
      </c>
      <c r="D21" s="100">
        <f>'[1]Weighted mean - calcs'!E6</f>
        <v>0.27861980006449538</v>
      </c>
      <c r="E21" s="100"/>
      <c r="G21" s="100">
        <f t="shared" si="4"/>
        <v>0.15542521558132627</v>
      </c>
      <c r="H21" s="100">
        <f t="shared" si="1"/>
        <v>-0.10138019993550462</v>
      </c>
      <c r="J21" s="101">
        <f t="shared" ref="J21:J31" si="18">J20</f>
        <v>758</v>
      </c>
      <c r="L21" s="100">
        <f t="shared" si="2"/>
        <v>-6.9574784418673707E-2</v>
      </c>
      <c r="M21" s="100">
        <f t="shared" si="3"/>
        <v>0.43042521558132624</v>
      </c>
      <c r="O21" s="101">
        <f t="shared" ref="O21:O25" si="19">O20</f>
        <v>354</v>
      </c>
      <c r="Q21" s="100">
        <f t="shared" si="5"/>
        <v>-0.22957478441867374</v>
      </c>
      <c r="R21" s="100">
        <f t="shared" si="5"/>
        <v>-3.1380199935504616E-2</v>
      </c>
      <c r="T21" s="101">
        <f t="shared" ref="T21:T25" si="20">T20</f>
        <v>353</v>
      </c>
      <c r="V21" s="100">
        <f t="shared" si="6"/>
        <v>-6.9574784418673707E-2</v>
      </c>
      <c r="W21" s="100">
        <f t="shared" si="6"/>
        <v>-4.1380199935504625E-2</v>
      </c>
      <c r="Y21" s="101">
        <f>Y20</f>
        <v>288</v>
      </c>
      <c r="AA21" s="100">
        <f t="shared" si="7"/>
        <v>-9.9574784418673734E-2</v>
      </c>
      <c r="AB21" s="100">
        <f t="shared" si="7"/>
        <v>-0.17138019993550463</v>
      </c>
      <c r="AD21" s="101">
        <f>AD20</f>
        <v>463</v>
      </c>
      <c r="AF21" s="100">
        <f t="shared" si="8"/>
        <v>1.0425215581326253E-2</v>
      </c>
      <c r="AG21" s="100">
        <f t="shared" si="8"/>
        <v>0.14861980006449538</v>
      </c>
      <c r="AI21" s="101">
        <f>AI20</f>
        <v>609</v>
      </c>
      <c r="AK21" s="100">
        <f t="shared" si="9"/>
        <v>-0.19957478441867371</v>
      </c>
      <c r="AL21" s="100">
        <f t="shared" si="9"/>
        <v>0.20861980006449538</v>
      </c>
      <c r="AN21" s="101">
        <f>AN20</f>
        <v>506</v>
      </c>
      <c r="AP21" s="100">
        <f t="shared" si="10"/>
        <v>-0.25957478441867377</v>
      </c>
      <c r="AS21" s="101">
        <f>AS20</f>
        <v>524</v>
      </c>
      <c r="AU21" s="100">
        <f t="shared" si="11"/>
        <v>-0.1695747844186738</v>
      </c>
      <c r="AV21" s="100">
        <f t="shared" si="11"/>
        <v>4.8619800064495372E-2</v>
      </c>
      <c r="AX21" s="101">
        <f>AX20</f>
        <v>212</v>
      </c>
      <c r="AZ21" s="100">
        <f t="shared" si="12"/>
        <v>-0.13957478441867377</v>
      </c>
      <c r="BA21" s="100">
        <f t="shared" si="12"/>
        <v>-0.39138019993550466</v>
      </c>
      <c r="BC21" s="101">
        <f>BC20</f>
        <v>374</v>
      </c>
      <c r="BE21" s="100">
        <f t="shared" si="13"/>
        <v>-0.22957478441867374</v>
      </c>
      <c r="BF21" s="100">
        <f t="shared" si="13"/>
        <v>0.22861980006449539</v>
      </c>
      <c r="BH21" s="101">
        <f>BH20</f>
        <v>663</v>
      </c>
      <c r="BJ21" s="100">
        <f t="shared" si="14"/>
        <v>0.38042521558132625</v>
      </c>
      <c r="BK21" s="100">
        <f t="shared" si="14"/>
        <v>-0.2013801999355046</v>
      </c>
      <c r="BM21" s="101">
        <f>BM20</f>
        <v>696</v>
      </c>
      <c r="BO21" s="100">
        <f t="shared" si="15"/>
        <v>0.34042521558132621</v>
      </c>
      <c r="BP21" s="100">
        <f t="shared" si="15"/>
        <v>-1.3801999355046446E-3</v>
      </c>
      <c r="BR21" s="101">
        <f>BR20</f>
        <v>706</v>
      </c>
      <c r="BT21" s="100">
        <f t="shared" si="16"/>
        <v>9.0425215581326268E-2</v>
      </c>
      <c r="BU21" s="100">
        <f t="shared" si="16"/>
        <v>0.15861980006449539</v>
      </c>
      <c r="BW21" s="100">
        <f t="shared" si="17"/>
        <v>220</v>
      </c>
    </row>
    <row r="22" spans="1:75">
      <c r="A22">
        <v>4</v>
      </c>
      <c r="C22" s="100">
        <f>'[1]Weighted mean - calcs'!D7</f>
        <v>0.61959976211715728</v>
      </c>
      <c r="D22" s="100">
        <f>'[1]Weighted mean - calcs'!E7</f>
        <v>7.4180264430828771E-2</v>
      </c>
      <c r="E22" s="100"/>
      <c r="G22" s="100">
        <f t="shared" si="4"/>
        <v>0.15359976211715726</v>
      </c>
      <c r="H22" s="100">
        <f t="shared" si="1"/>
        <v>-7.2819735569171221E-2</v>
      </c>
      <c r="J22" s="101">
        <f t="shared" si="18"/>
        <v>758</v>
      </c>
      <c r="L22" s="100">
        <f t="shared" si="2"/>
        <v>0.12959976211715729</v>
      </c>
      <c r="M22" s="100">
        <f t="shared" si="3"/>
        <v>0.5195997621171573</v>
      </c>
      <c r="O22" s="101">
        <f t="shared" si="19"/>
        <v>354</v>
      </c>
      <c r="Q22" s="100">
        <f t="shared" si="5"/>
        <v>-0.21040023788284268</v>
      </c>
      <c r="R22" s="100">
        <f t="shared" si="5"/>
        <v>1.4180264430828773E-2</v>
      </c>
      <c r="T22" s="101">
        <f t="shared" si="20"/>
        <v>353</v>
      </c>
      <c r="V22" s="100">
        <f t="shared" si="6"/>
        <v>-0.16040023788284274</v>
      </c>
      <c r="W22" s="100">
        <f t="shared" si="6"/>
        <v>1.4180264430828773E-2</v>
      </c>
      <c r="Y22" s="101">
        <f t="shared" ref="Y22:Y31" si="21">Y19</f>
        <v>288</v>
      </c>
      <c r="AA22" s="100">
        <f t="shared" si="7"/>
        <v>-0.19040023788284277</v>
      </c>
      <c r="AB22" s="100">
        <f t="shared" si="7"/>
        <v>6.4180264430828776E-2</v>
      </c>
      <c r="AD22" s="101">
        <f t="shared" ref="AD22:AD31" si="22">AD19</f>
        <v>463</v>
      </c>
      <c r="AF22" s="100">
        <f t="shared" si="8"/>
        <v>0.2595997621171573</v>
      </c>
      <c r="AG22" s="100">
        <f t="shared" si="8"/>
        <v>4.4180264430828772E-2</v>
      </c>
      <c r="AI22" s="101">
        <f t="shared" ref="AI22:AI31" si="23">AI19</f>
        <v>609</v>
      </c>
      <c r="AK22" s="100">
        <f t="shared" si="9"/>
        <v>-0.20040023788284267</v>
      </c>
      <c r="AL22" s="100">
        <f t="shared" si="9"/>
        <v>0.10418026443082877</v>
      </c>
      <c r="AN22" s="101">
        <f t="shared" ref="AN22:AN31" si="24">AN19</f>
        <v>506</v>
      </c>
      <c r="AP22" s="100">
        <f t="shared" si="10"/>
        <v>-0.15040023788284274</v>
      </c>
      <c r="AS22" s="101">
        <f t="shared" ref="AS22:AS31" si="25">AS19</f>
        <v>524</v>
      </c>
      <c r="AU22" s="100">
        <f t="shared" si="11"/>
        <v>-8.0400237882842673E-2</v>
      </c>
      <c r="AV22" s="100">
        <f t="shared" si="11"/>
        <v>-0.16581973556917123</v>
      </c>
      <c r="AX22" s="101">
        <f t="shared" ref="AX22:AX31" si="26">AX19</f>
        <v>212</v>
      </c>
      <c r="AZ22" s="100">
        <f t="shared" si="12"/>
        <v>-7.0400237882842664E-2</v>
      </c>
      <c r="BA22" s="100">
        <f t="shared" si="12"/>
        <v>-0.20581973556917127</v>
      </c>
      <c r="BC22" s="101">
        <f t="shared" ref="BC22:BC31" si="27">BC19</f>
        <v>374</v>
      </c>
      <c r="BE22" s="100">
        <f t="shared" si="13"/>
        <v>-0.16040023788284274</v>
      </c>
      <c r="BF22" s="100">
        <f t="shared" si="13"/>
        <v>0.19418026443082875</v>
      </c>
      <c r="BH22" s="101">
        <f t="shared" ref="BH22:BH31" si="28">BH19</f>
        <v>663</v>
      </c>
      <c r="BJ22" s="100">
        <f t="shared" si="14"/>
        <v>0.17959976211715728</v>
      </c>
      <c r="BK22" s="100">
        <f t="shared" si="14"/>
        <v>-0.10581973556917122</v>
      </c>
      <c r="BM22" s="101">
        <f t="shared" ref="BM22:BM31" si="29">BM19</f>
        <v>696</v>
      </c>
      <c r="BO22" s="100">
        <f t="shared" si="15"/>
        <v>0.11959976211715728</v>
      </c>
      <c r="BP22" s="100">
        <f t="shared" si="15"/>
        <v>-1.5819735569171225E-2</v>
      </c>
      <c r="BR22" s="101">
        <f t="shared" ref="BR22:BR31" si="30">BR19</f>
        <v>706</v>
      </c>
      <c r="BT22" s="100">
        <f t="shared" si="16"/>
        <v>3.9599762117157322E-2</v>
      </c>
      <c r="BU22" s="100">
        <f t="shared" si="16"/>
        <v>6.4180264430828776E-2</v>
      </c>
      <c r="BW22" s="100">
        <f t="shared" si="17"/>
        <v>220</v>
      </c>
    </row>
    <row r="23" spans="1:75">
      <c r="A23">
        <v>5</v>
      </c>
      <c r="C23" s="100">
        <f>'[1]Weighted mean - calcs'!D8</f>
        <v>0.63300416294974726</v>
      </c>
      <c r="D23" s="100">
        <f>'[1]Weighted mean - calcs'!E8</f>
        <v>0.23136988068365047</v>
      </c>
      <c r="E23" s="100"/>
      <c r="G23" s="100">
        <f t="shared" si="4"/>
        <v>2.1004162949747274E-2</v>
      </c>
      <c r="H23" s="100">
        <f t="shared" si="1"/>
        <v>-0.13063011931634952</v>
      </c>
      <c r="J23" s="101">
        <f t="shared" si="18"/>
        <v>758</v>
      </c>
      <c r="L23" s="100">
        <f t="shared" si="2"/>
        <v>-8.6995837050252711E-2</v>
      </c>
      <c r="M23" s="100">
        <f t="shared" si="3"/>
        <v>0.43300416294974725</v>
      </c>
      <c r="O23" s="101">
        <f t="shared" si="19"/>
        <v>354</v>
      </c>
      <c r="Q23" s="100">
        <f t="shared" si="5"/>
        <v>-6.6995837050252693E-2</v>
      </c>
      <c r="R23" s="100">
        <f t="shared" si="5"/>
        <v>-0.10863011931634955</v>
      </c>
      <c r="T23" s="101">
        <f t="shared" si="20"/>
        <v>353</v>
      </c>
      <c r="V23" s="100">
        <f t="shared" si="6"/>
        <v>-0.12699583705025275</v>
      </c>
      <c r="W23" s="100">
        <f t="shared" si="6"/>
        <v>-3.8630119316349548E-2</v>
      </c>
      <c r="Y23" s="101">
        <f t="shared" si="21"/>
        <v>288</v>
      </c>
      <c r="AA23" s="100">
        <f t="shared" si="7"/>
        <v>-6.6995837050252693E-2</v>
      </c>
      <c r="AB23" s="100">
        <f t="shared" si="7"/>
        <v>-0.24863011931634951</v>
      </c>
      <c r="AD23" s="101">
        <f t="shared" si="22"/>
        <v>463</v>
      </c>
      <c r="AF23" s="100">
        <f t="shared" si="8"/>
        <v>-1.699583705025276E-2</v>
      </c>
      <c r="AG23" s="100">
        <f t="shared" si="8"/>
        <v>-1.863011931634953E-2</v>
      </c>
      <c r="AI23" s="101">
        <f t="shared" si="23"/>
        <v>609</v>
      </c>
      <c r="AK23" s="100">
        <f t="shared" si="9"/>
        <v>-5.6995837050252685E-2</v>
      </c>
      <c r="AL23" s="100">
        <f t="shared" si="9"/>
        <v>0.13136988068365046</v>
      </c>
      <c r="AN23" s="101">
        <f t="shared" si="24"/>
        <v>506</v>
      </c>
      <c r="AP23" s="100">
        <f t="shared" si="10"/>
        <v>-0.12699583705025275</v>
      </c>
      <c r="AS23" s="101">
        <f t="shared" si="25"/>
        <v>524</v>
      </c>
      <c r="AU23" s="100">
        <f t="shared" si="11"/>
        <v>-3.6995837050252778E-2</v>
      </c>
      <c r="AV23" s="100">
        <f t="shared" si="11"/>
        <v>1.3698806836504596E-3</v>
      </c>
      <c r="AX23" s="101">
        <f t="shared" si="26"/>
        <v>212</v>
      </c>
      <c r="AZ23" s="100">
        <f t="shared" si="12"/>
        <v>-9.699583705025272E-2</v>
      </c>
      <c r="BA23" s="100">
        <f t="shared" si="12"/>
        <v>-2.8630119316349539E-2</v>
      </c>
      <c r="BC23" s="101">
        <f t="shared" si="27"/>
        <v>374</v>
      </c>
      <c r="BE23" s="100">
        <f t="shared" si="13"/>
        <v>-4.6995837050252787E-2</v>
      </c>
      <c r="BF23" s="100">
        <f t="shared" si="13"/>
        <v>0.16136988068365046</v>
      </c>
      <c r="BH23" s="101">
        <f t="shared" si="28"/>
        <v>663</v>
      </c>
      <c r="BJ23" s="100">
        <f t="shared" si="14"/>
        <v>0.28300416294974728</v>
      </c>
      <c r="BK23" s="100">
        <f t="shared" si="14"/>
        <v>-6.8630119316349519E-2</v>
      </c>
      <c r="BM23" s="101">
        <f t="shared" si="29"/>
        <v>696</v>
      </c>
      <c r="BO23" s="100">
        <f t="shared" si="15"/>
        <v>0.13300416294974726</v>
      </c>
      <c r="BP23" s="100">
        <f t="shared" si="15"/>
        <v>-4.8630119316349557E-2</v>
      </c>
      <c r="BR23" s="101">
        <f t="shared" si="30"/>
        <v>706</v>
      </c>
      <c r="BT23" s="100">
        <f t="shared" si="16"/>
        <v>-1.699583705025276E-2</v>
      </c>
      <c r="BU23" s="100">
        <f t="shared" si="16"/>
        <v>0.83136988068365048</v>
      </c>
      <c r="BW23" s="100">
        <f t="shared" si="17"/>
        <v>220</v>
      </c>
    </row>
    <row r="24" spans="1:75">
      <c r="A24">
        <v>6</v>
      </c>
      <c r="C24" s="100">
        <f>'[1]Weighted mean - calcs'!D9</f>
        <v>0.66174100505501054</v>
      </c>
      <c r="D24" s="100">
        <f>'[1]Weighted mean - calcs'!E9</f>
        <v>8.768236052886165E-2</v>
      </c>
      <c r="E24" s="100"/>
      <c r="G24" s="100">
        <f t="shared" si="4"/>
        <v>-0.11825899494498948</v>
      </c>
      <c r="H24" s="100">
        <f t="shared" si="1"/>
        <v>-6.9317639471138351E-2</v>
      </c>
      <c r="J24" s="101">
        <f t="shared" si="18"/>
        <v>758</v>
      </c>
      <c r="L24" s="100">
        <f t="shared" si="2"/>
        <v>-0.10825899494498947</v>
      </c>
      <c r="M24" s="100">
        <f t="shared" si="3"/>
        <v>1.1117410050550105</v>
      </c>
      <c r="O24" s="101">
        <f t="shared" si="19"/>
        <v>354</v>
      </c>
      <c r="Q24" s="100">
        <f t="shared" si="5"/>
        <v>-0.20825899494498945</v>
      </c>
      <c r="R24" s="100">
        <f t="shared" si="5"/>
        <v>5.7682360528861651E-2</v>
      </c>
      <c r="T24" s="101">
        <f t="shared" si="20"/>
        <v>353</v>
      </c>
      <c r="V24" s="100">
        <f t="shared" si="6"/>
        <v>-6.8258994944989437E-2</v>
      </c>
      <c r="W24" s="100">
        <f t="shared" si="6"/>
        <v>-0.24231763947113838</v>
      </c>
      <c r="Y24" s="101">
        <f t="shared" si="21"/>
        <v>288</v>
      </c>
      <c r="AA24" s="100">
        <f t="shared" si="7"/>
        <v>-0.12825899494498949</v>
      </c>
      <c r="AB24" s="100">
        <f t="shared" si="7"/>
        <v>-0.11231763947113836</v>
      </c>
      <c r="AD24" s="101">
        <f t="shared" si="22"/>
        <v>463</v>
      </c>
      <c r="AF24" s="100">
        <f t="shared" si="8"/>
        <v>4.1741005055010549E-2</v>
      </c>
      <c r="AG24" s="100">
        <f t="shared" si="8"/>
        <v>-4.2317639471138355E-2</v>
      </c>
      <c r="AI24" s="101">
        <f t="shared" si="23"/>
        <v>609</v>
      </c>
      <c r="AK24" s="100">
        <f t="shared" si="9"/>
        <v>-0.14825899494498951</v>
      </c>
      <c r="AL24" s="100">
        <f t="shared" si="9"/>
        <v>0.12768236052886164</v>
      </c>
      <c r="AN24" s="101">
        <f t="shared" si="24"/>
        <v>506</v>
      </c>
      <c r="AP24" s="100">
        <f t="shared" si="10"/>
        <v>-0.1382589949449895</v>
      </c>
      <c r="AS24" s="101">
        <f t="shared" si="25"/>
        <v>524</v>
      </c>
      <c r="AU24" s="100">
        <f t="shared" si="11"/>
        <v>-4.825899494498942E-2</v>
      </c>
      <c r="AV24" s="100">
        <f t="shared" si="11"/>
        <v>-0.15231763947113836</v>
      </c>
      <c r="AX24" s="101">
        <f t="shared" si="26"/>
        <v>212</v>
      </c>
      <c r="AZ24" s="100">
        <f t="shared" si="12"/>
        <v>-0.10825899494498947</v>
      </c>
      <c r="BA24" s="100">
        <f t="shared" si="12"/>
        <v>-0.13231763947113834</v>
      </c>
      <c r="BC24" s="101">
        <f t="shared" si="27"/>
        <v>374</v>
      </c>
      <c r="BE24" s="100">
        <f t="shared" si="13"/>
        <v>-0.10825899494498947</v>
      </c>
      <c r="BF24" s="100">
        <f t="shared" si="13"/>
        <v>2.7682360528861652E-2</v>
      </c>
      <c r="BH24" s="101">
        <f t="shared" si="28"/>
        <v>663</v>
      </c>
      <c r="BJ24" s="100">
        <f t="shared" si="14"/>
        <v>0.45174100505501058</v>
      </c>
      <c r="BK24" s="100">
        <f t="shared" si="14"/>
        <v>5.7682360528861651E-2</v>
      </c>
      <c r="BM24" s="101">
        <f t="shared" si="29"/>
        <v>696</v>
      </c>
      <c r="BO24" s="100">
        <f t="shared" si="15"/>
        <v>0.24174100505501056</v>
      </c>
      <c r="BP24" s="100">
        <f t="shared" si="15"/>
        <v>-3.2317639471138346E-2</v>
      </c>
      <c r="BR24" s="101">
        <f t="shared" si="30"/>
        <v>706</v>
      </c>
      <c r="BT24" s="100">
        <f t="shared" si="16"/>
        <v>0.18174100505501056</v>
      </c>
      <c r="BU24" s="100">
        <f t="shared" si="16"/>
        <v>-0.13231763947113834</v>
      </c>
      <c r="BW24" s="100">
        <f t="shared" si="17"/>
        <v>220</v>
      </c>
    </row>
    <row r="25" spans="1:75">
      <c r="A25">
        <v>7</v>
      </c>
      <c r="C25" s="100">
        <f>'[1]Weighted mean - calcs'!D10</f>
        <v>0.59388700564971764</v>
      </c>
      <c r="D25" s="100">
        <f>'[1]Weighted mean - calcs'!E10</f>
        <v>0.38161528539180906</v>
      </c>
      <c r="E25" s="100"/>
      <c r="G25" s="100">
        <f t="shared" si="4"/>
        <v>-0.10411299435028232</v>
      </c>
      <c r="H25" s="100">
        <f t="shared" si="1"/>
        <v>-0.10938471460819094</v>
      </c>
      <c r="J25" s="101">
        <f t="shared" si="18"/>
        <v>758</v>
      </c>
      <c r="L25" s="100">
        <f t="shared" si="2"/>
        <v>1.3887005649717676E-2</v>
      </c>
      <c r="M25" s="100">
        <f t="shared" si="3"/>
        <v>0.31388700564971761</v>
      </c>
      <c r="O25" s="101">
        <f t="shared" si="19"/>
        <v>354</v>
      </c>
      <c r="Q25" s="100">
        <f t="shared" si="5"/>
        <v>-2.6112994350282359E-2</v>
      </c>
      <c r="R25" s="100">
        <f t="shared" si="5"/>
        <v>-6.8384714608190955E-2</v>
      </c>
      <c r="T25" s="101">
        <f t="shared" si="20"/>
        <v>353</v>
      </c>
      <c r="V25" s="100">
        <f t="shared" si="6"/>
        <v>-4.6112994350282377E-2</v>
      </c>
      <c r="W25" s="100">
        <f t="shared" si="6"/>
        <v>9.1615285391809076E-2</v>
      </c>
      <c r="Y25" s="101">
        <f t="shared" si="21"/>
        <v>288</v>
      </c>
      <c r="AA25" s="100">
        <f t="shared" si="7"/>
        <v>-1.611299435028235E-2</v>
      </c>
      <c r="AB25" s="100">
        <f t="shared" si="7"/>
        <v>-9.8384714608190926E-2</v>
      </c>
      <c r="AD25" s="101">
        <f t="shared" si="22"/>
        <v>463</v>
      </c>
      <c r="AF25" s="100">
        <f t="shared" si="8"/>
        <v>-4.6112994350282377E-2</v>
      </c>
      <c r="AG25" s="100">
        <f t="shared" si="8"/>
        <v>0.11161528539180904</v>
      </c>
      <c r="AI25" s="101">
        <f t="shared" si="23"/>
        <v>609</v>
      </c>
      <c r="AK25" s="100">
        <f t="shared" si="9"/>
        <v>-9.611299435028231E-2</v>
      </c>
      <c r="AL25" s="100">
        <f t="shared" si="9"/>
        <v>0.20161528539180906</v>
      </c>
      <c r="AN25" s="101">
        <f t="shared" si="24"/>
        <v>506</v>
      </c>
      <c r="AP25" s="100">
        <f t="shared" si="10"/>
        <v>-0.12611299435028234</v>
      </c>
      <c r="AS25" s="101">
        <f t="shared" si="25"/>
        <v>524</v>
      </c>
      <c r="AU25" s="100">
        <f t="shared" si="11"/>
        <v>-0.10611299435028232</v>
      </c>
      <c r="AV25" s="100">
        <f t="shared" si="11"/>
        <v>0.14161528539180906</v>
      </c>
      <c r="AX25" s="101">
        <f t="shared" si="26"/>
        <v>212</v>
      </c>
      <c r="AZ25" s="100">
        <f t="shared" si="12"/>
        <v>-8.6112994350282412E-2</v>
      </c>
      <c r="BA25" s="100">
        <f t="shared" si="12"/>
        <v>0.21161528539180904</v>
      </c>
      <c r="BC25" s="101">
        <f t="shared" si="27"/>
        <v>374</v>
      </c>
      <c r="BE25" s="100">
        <f t="shared" si="13"/>
        <v>-0.15611299435028236</v>
      </c>
      <c r="BF25" s="100">
        <f t="shared" si="13"/>
        <v>-0.27838471460819098</v>
      </c>
      <c r="BH25" s="101">
        <f t="shared" si="28"/>
        <v>663</v>
      </c>
      <c r="BJ25" s="100">
        <f t="shared" si="14"/>
        <v>0.32388700564971762</v>
      </c>
      <c r="BK25" s="100">
        <f t="shared" si="14"/>
        <v>0.17161528539180906</v>
      </c>
      <c r="BM25" s="101">
        <f t="shared" si="29"/>
        <v>696</v>
      </c>
      <c r="BO25" s="100">
        <f t="shared" si="15"/>
        <v>0.19388700564971761</v>
      </c>
      <c r="BP25" s="100">
        <f t="shared" si="15"/>
        <v>-0.37838471460819095</v>
      </c>
      <c r="BR25" s="101">
        <f t="shared" si="30"/>
        <v>706</v>
      </c>
      <c r="BT25" s="100">
        <f t="shared" si="16"/>
        <v>0.19388700564971761</v>
      </c>
      <c r="BU25" s="100">
        <f t="shared" si="16"/>
        <v>0.65161528539180913</v>
      </c>
      <c r="BW25" s="100">
        <f t="shared" si="17"/>
        <v>220</v>
      </c>
    </row>
    <row r="26" spans="1:75">
      <c r="C26" s="100"/>
      <c r="D26" s="100"/>
      <c r="E26" s="100"/>
      <c r="O26" s="101"/>
      <c r="T26" s="101"/>
      <c r="V26" s="100"/>
      <c r="AA26" s="100"/>
      <c r="AF26" s="100"/>
      <c r="AK26" s="100"/>
      <c r="AP26" s="100"/>
      <c r="AU26" s="100"/>
      <c r="AZ26" s="100"/>
      <c r="BE26" s="100"/>
      <c r="BJ26" s="100"/>
      <c r="BO26" s="100"/>
      <c r="BT26" s="100"/>
      <c r="BW26" s="100"/>
    </row>
    <row r="27" spans="1:75">
      <c r="A27">
        <v>8</v>
      </c>
      <c r="C27" s="100">
        <f>'[1]Weighted mean - calcs'!D12</f>
        <v>0.68290068391317282</v>
      </c>
      <c r="D27" s="100"/>
      <c r="E27" s="100">
        <f>'[1]Weighted mean - calcs'!F12</f>
        <v>0.17188581623550406</v>
      </c>
      <c r="G27" s="100">
        <f t="shared" si="4"/>
        <v>6.7900683913172832E-2</v>
      </c>
      <c r="I27" s="100">
        <f t="shared" si="1"/>
        <v>-0.361114183764496</v>
      </c>
      <c r="J27" s="101">
        <f>J25</f>
        <v>758</v>
      </c>
      <c r="L27" s="100">
        <f>C27-L12</f>
        <v>1.2900683913172784E-2</v>
      </c>
      <c r="N27" s="100">
        <f>E27-N12</f>
        <v>-8.1141837644959358E-3</v>
      </c>
      <c r="O27" s="101">
        <f>O25</f>
        <v>354</v>
      </c>
      <c r="Q27" s="100">
        <f t="shared" si="5"/>
        <v>-0.13709931608682713</v>
      </c>
      <c r="S27" s="100">
        <f>E27-S12</f>
        <v>-6.8114183764495934E-2</v>
      </c>
      <c r="T27" s="101">
        <f>T25</f>
        <v>353</v>
      </c>
      <c r="V27" s="100">
        <f t="shared" si="6"/>
        <v>0.29290068391317281</v>
      </c>
      <c r="X27" s="100">
        <f>E27-X12</f>
        <v>0.44188581623550405</v>
      </c>
      <c r="Y27" s="101">
        <f t="shared" si="21"/>
        <v>288</v>
      </c>
      <c r="AA27" s="100">
        <f t="shared" si="7"/>
        <v>-1.7099316086827132E-2</v>
      </c>
      <c r="AC27" s="100">
        <f>E27-AC12</f>
        <v>1.8858162355040453E-3</v>
      </c>
      <c r="AD27" s="101">
        <f t="shared" si="22"/>
        <v>463</v>
      </c>
      <c r="AF27" s="100">
        <f t="shared" si="8"/>
        <v>0.12290068391317277</v>
      </c>
      <c r="AH27" s="100">
        <f>E27-AH12</f>
        <v>-0.24811418376449593</v>
      </c>
      <c r="AI27" s="101">
        <f t="shared" si="23"/>
        <v>609</v>
      </c>
      <c r="AK27" s="100">
        <f t="shared" si="9"/>
        <v>-0.10709931608682721</v>
      </c>
      <c r="AM27" s="100">
        <f>E27-AM12</f>
        <v>2.1885816235504063E-2</v>
      </c>
      <c r="AN27" s="101">
        <f t="shared" si="24"/>
        <v>506</v>
      </c>
      <c r="AP27" s="100">
        <f t="shared" si="10"/>
        <v>-3.709931608682715E-2</v>
      </c>
      <c r="AR27" s="100">
        <f>E27-AR12</f>
        <v>-7.8114183764495942E-2</v>
      </c>
      <c r="AS27" s="101">
        <f t="shared" si="25"/>
        <v>524</v>
      </c>
      <c r="AU27" s="100">
        <f t="shared" si="11"/>
        <v>6.2900683913172828E-2</v>
      </c>
      <c r="AW27" s="100">
        <f>E27-AW12</f>
        <v>-0.14811418376449595</v>
      </c>
      <c r="AX27" s="101">
        <f t="shared" si="26"/>
        <v>212</v>
      </c>
      <c r="AZ27" s="100">
        <f t="shared" si="12"/>
        <v>-0.10709931608682721</v>
      </c>
      <c r="BB27" s="100">
        <f>E27-BB12</f>
        <v>-0.16811418376449597</v>
      </c>
      <c r="BC27" s="101">
        <f t="shared" si="27"/>
        <v>374</v>
      </c>
      <c r="BE27" s="100">
        <f t="shared" si="13"/>
        <v>-3.709931608682715E-2</v>
      </c>
      <c r="BG27" s="100">
        <f>E27-BG12</f>
        <v>-6.8114183764495934E-2</v>
      </c>
      <c r="BH27" s="101">
        <f t="shared" si="28"/>
        <v>663</v>
      </c>
      <c r="BJ27" s="100">
        <f t="shared" si="14"/>
        <v>-2.7099316086827141E-2</v>
      </c>
      <c r="BL27" s="100">
        <f>E27-BL12</f>
        <v>0.40188581623550407</v>
      </c>
      <c r="BM27" s="101">
        <f t="shared" si="29"/>
        <v>696</v>
      </c>
      <c r="BO27" s="100">
        <f t="shared" si="15"/>
        <v>-9.7099316086827203E-2</v>
      </c>
      <c r="BQ27" s="100">
        <f>E27-BQ12</f>
        <v>0.34188581623550407</v>
      </c>
      <c r="BR27" s="101">
        <f t="shared" si="30"/>
        <v>706</v>
      </c>
      <c r="BT27" s="100">
        <f t="shared" si="16"/>
        <v>0.24290068391317282</v>
      </c>
      <c r="BV27" s="100">
        <f>E27-BV12</f>
        <v>-0.12811418376449593</v>
      </c>
      <c r="BW27" s="100">
        <f t="shared" si="17"/>
        <v>220</v>
      </c>
    </row>
    <row r="28" spans="1:75">
      <c r="A28">
        <v>9</v>
      </c>
      <c r="C28" s="100">
        <f>'[1]Weighted mean - calcs'!D13</f>
        <v>0.63360303300624432</v>
      </c>
      <c r="D28" s="100"/>
      <c r="E28" s="100">
        <f>'[1]Weighted mean - calcs'!F13</f>
        <v>0.4998599464763604</v>
      </c>
      <c r="G28" s="100">
        <f t="shared" si="4"/>
        <v>4.0603033006244349E-2</v>
      </c>
      <c r="I28" s="100">
        <f t="shared" si="1"/>
        <v>-0.16614005352363964</v>
      </c>
      <c r="J28" s="101">
        <f t="shared" si="18"/>
        <v>758</v>
      </c>
      <c r="L28" s="100">
        <f>C28-L13</f>
        <v>3.6030330062443161E-3</v>
      </c>
      <c r="N28" s="100">
        <f t="shared" ref="N28:N31" si="31">E28-N13</f>
        <v>0.23985994647636039</v>
      </c>
      <c r="O28" s="101">
        <f t="shared" ref="O28:O31" si="32">O27</f>
        <v>354</v>
      </c>
      <c r="Q28" s="100">
        <f t="shared" si="5"/>
        <v>-8.6396966993755653E-2</v>
      </c>
      <c r="S28" s="100">
        <f t="shared" ref="S28:S31" si="33">E28-S13</f>
        <v>-1.4005352363960499E-4</v>
      </c>
      <c r="T28" s="101">
        <f t="shared" ref="T28:T31" si="34">T27</f>
        <v>353</v>
      </c>
      <c r="V28" s="100">
        <f t="shared" si="6"/>
        <v>-4.6396966993755728E-2</v>
      </c>
      <c r="X28" s="100">
        <f t="shared" ref="X28:X31" si="35">E28-X13</f>
        <v>9.8599464763604039E-3</v>
      </c>
      <c r="Y28" s="101">
        <f t="shared" si="21"/>
        <v>288</v>
      </c>
      <c r="AA28" s="100">
        <f t="shared" si="7"/>
        <v>-6.6396966993755635E-2</v>
      </c>
      <c r="AC28" s="100">
        <f t="shared" ref="AC28:AC31" si="36">E28-AC13</f>
        <v>9.8599464763604039E-3</v>
      </c>
      <c r="AD28" s="101">
        <f t="shared" si="22"/>
        <v>463</v>
      </c>
      <c r="AF28" s="100">
        <f t="shared" si="8"/>
        <v>0.18360303300624431</v>
      </c>
      <c r="AH28" s="100">
        <f t="shared" ref="AH28:AH31" si="37">E28-AH13</f>
        <v>-0.17014005352363964</v>
      </c>
      <c r="AI28" s="101">
        <f t="shared" si="23"/>
        <v>609</v>
      </c>
      <c r="AK28" s="100">
        <f t="shared" si="9"/>
        <v>-8.6396966993755653E-2</v>
      </c>
      <c r="AM28" s="100">
        <f t="shared" ref="AM28:AM31" si="38">E28-AM13</f>
        <v>-5.0140053523639649E-2</v>
      </c>
      <c r="AN28" s="101">
        <f t="shared" si="24"/>
        <v>506</v>
      </c>
      <c r="AP28" s="100">
        <f t="shared" si="10"/>
        <v>2.3603033006244334E-2</v>
      </c>
      <c r="AR28" s="100">
        <f t="shared" ref="AR28:AR31" si="39">E28-AR13</f>
        <v>-0.22014005352363958</v>
      </c>
      <c r="AS28" s="101">
        <f t="shared" si="25"/>
        <v>524</v>
      </c>
      <c r="AU28" s="100">
        <f t="shared" si="11"/>
        <v>-2.6396966993755711E-2</v>
      </c>
      <c r="AW28" s="100">
        <f t="shared" ref="AW28:AW31" si="40">E28-AW13</f>
        <v>0.15985994647636037</v>
      </c>
      <c r="AX28" s="101">
        <f t="shared" si="26"/>
        <v>212</v>
      </c>
      <c r="AZ28" s="100">
        <f t="shared" si="12"/>
        <v>-5.6396966993755626E-2</v>
      </c>
      <c r="BB28" s="100">
        <f t="shared" ref="BB28:BB31" si="41">E28-BB13</f>
        <v>-5.0140053523639649E-2</v>
      </c>
      <c r="BC28" s="101">
        <f t="shared" si="27"/>
        <v>374</v>
      </c>
      <c r="BE28" s="100">
        <f t="shared" si="13"/>
        <v>-7.6396966993755644E-2</v>
      </c>
      <c r="BG28" s="100">
        <f t="shared" ref="BG28:BG31" si="42">E28-BG13</f>
        <v>-5.0140053523639649E-2</v>
      </c>
      <c r="BH28" s="101">
        <f t="shared" si="28"/>
        <v>663</v>
      </c>
      <c r="BJ28" s="100">
        <f t="shared" si="14"/>
        <v>8.3603033006244276E-2</v>
      </c>
      <c r="BL28" s="100">
        <f t="shared" ref="BL28:BL31" si="43">E28-BL13</f>
        <v>9.9859946476360373E-2</v>
      </c>
      <c r="BM28" s="101">
        <f t="shared" si="29"/>
        <v>696</v>
      </c>
      <c r="BO28" s="100">
        <f t="shared" si="15"/>
        <v>-4.6396966993755728E-2</v>
      </c>
      <c r="BQ28" s="100">
        <f t="shared" ref="BQ28:BQ31" si="44">E28-BQ13</f>
        <v>0.28985994647636038</v>
      </c>
      <c r="BR28" s="101">
        <f t="shared" si="30"/>
        <v>706</v>
      </c>
      <c r="BT28" s="100">
        <f t="shared" si="16"/>
        <v>6.3603033006244369E-2</v>
      </c>
      <c r="BV28" s="100">
        <f t="shared" ref="BV28:BV31" si="45">E28-BV13</f>
        <v>9.9859946476360373E-2</v>
      </c>
      <c r="BW28" s="100">
        <f t="shared" si="17"/>
        <v>220</v>
      </c>
    </row>
    <row r="29" spans="1:75">
      <c r="A29">
        <v>10</v>
      </c>
      <c r="C29" s="100">
        <f>'[1]Weighted mean - calcs'!D14</f>
        <v>0.66214808206958076</v>
      </c>
      <c r="D29" s="100"/>
      <c r="E29" s="100">
        <f>'[1]Weighted mean - calcs'!F14</f>
        <v>0.43003687184061845</v>
      </c>
      <c r="G29" s="100">
        <f t="shared" si="4"/>
        <v>1.1480820695807248E-3</v>
      </c>
      <c r="I29" s="100">
        <f t="shared" si="1"/>
        <v>-5.9631281593815477E-3</v>
      </c>
      <c r="J29" s="101">
        <f t="shared" si="18"/>
        <v>758</v>
      </c>
      <c r="L29" s="100">
        <f>C29-L14</f>
        <v>4.2148082069580761E-2</v>
      </c>
      <c r="N29" s="100">
        <f t="shared" si="31"/>
        <v>0.11003687184061844</v>
      </c>
      <c r="O29" s="101">
        <f t="shared" si="32"/>
        <v>354</v>
      </c>
      <c r="Q29" s="100">
        <f t="shared" si="5"/>
        <v>-0.12785191793041928</v>
      </c>
      <c r="S29" s="100">
        <f t="shared" si="33"/>
        <v>-9.9631281593815513E-3</v>
      </c>
      <c r="T29" s="101">
        <f t="shared" si="34"/>
        <v>353</v>
      </c>
      <c r="V29" s="100">
        <f t="shared" si="6"/>
        <v>-3.7851917930419199E-2</v>
      </c>
      <c r="X29" s="100">
        <f t="shared" si="35"/>
        <v>-9.9631281593815513E-3</v>
      </c>
      <c r="Y29" s="101">
        <f>Y25</f>
        <v>288</v>
      </c>
      <c r="AA29" s="100">
        <f t="shared" si="7"/>
        <v>-2.785191793041919E-2</v>
      </c>
      <c r="AC29" s="100">
        <f t="shared" si="36"/>
        <v>-0.16996312815938153</v>
      </c>
      <c r="AD29" s="101">
        <f>AD28</f>
        <v>463</v>
      </c>
      <c r="AF29" s="100">
        <f t="shared" si="8"/>
        <v>0.19214808206958078</v>
      </c>
      <c r="AH29" s="100">
        <f t="shared" si="37"/>
        <v>-6.9963128159381549E-2</v>
      </c>
      <c r="AI29" s="101">
        <f>AI28</f>
        <v>609</v>
      </c>
      <c r="AK29" s="100">
        <f t="shared" si="9"/>
        <v>-7.7851917930419234E-2</v>
      </c>
      <c r="AM29" s="100">
        <f t="shared" si="38"/>
        <v>-9.9631281593815513E-3</v>
      </c>
      <c r="AN29" s="101">
        <f>AN28</f>
        <v>506</v>
      </c>
      <c r="AP29" s="100">
        <f t="shared" si="10"/>
        <v>-3.7851917930419199E-2</v>
      </c>
      <c r="AR29" s="100">
        <f t="shared" si="39"/>
        <v>-0.1299631281593816</v>
      </c>
      <c r="AS29" s="101">
        <f>AS28</f>
        <v>524</v>
      </c>
      <c r="AU29" s="100">
        <f t="shared" si="11"/>
        <v>-7.8519179304192832E-3</v>
      </c>
      <c r="AW29" s="100">
        <f t="shared" si="40"/>
        <v>8.0036871840618473E-2</v>
      </c>
      <c r="AX29" s="101">
        <f>AX28</f>
        <v>212</v>
      </c>
      <c r="AZ29" s="100">
        <f t="shared" si="12"/>
        <v>-0.10785191793041926</v>
      </c>
      <c r="BB29" s="100">
        <f t="shared" si="41"/>
        <v>3.0036871840618429E-2</v>
      </c>
      <c r="BC29" s="101">
        <f>BC28</f>
        <v>374</v>
      </c>
      <c r="BE29" s="100">
        <f t="shared" si="13"/>
        <v>-3.7851917930419199E-2</v>
      </c>
      <c r="BG29" s="100">
        <f t="shared" si="42"/>
        <v>-0.1299631281593816</v>
      </c>
      <c r="BH29" s="101">
        <f>BH28</f>
        <v>663</v>
      </c>
      <c r="BJ29" s="100">
        <f t="shared" si="14"/>
        <v>0.1021480820695807</v>
      </c>
      <c r="BL29" s="100">
        <f t="shared" si="43"/>
        <v>7.0036871840618464E-2</v>
      </c>
      <c r="BM29" s="101">
        <f>BM28</f>
        <v>696</v>
      </c>
      <c r="BO29" s="100">
        <f t="shared" si="15"/>
        <v>-3.7851917930419199E-2</v>
      </c>
      <c r="BQ29" s="100">
        <f t="shared" si="44"/>
        <v>0.23003687184061844</v>
      </c>
      <c r="BR29" s="101">
        <f>BR28</f>
        <v>706</v>
      </c>
      <c r="BT29" s="100">
        <f t="shared" si="16"/>
        <v>8.2148082069580797E-2</v>
      </c>
      <c r="BV29" s="100">
        <f t="shared" si="45"/>
        <v>6.0036871840618455E-2</v>
      </c>
      <c r="BW29" s="100">
        <f t="shared" si="17"/>
        <v>220</v>
      </c>
    </row>
    <row r="30" spans="1:75">
      <c r="A30">
        <v>11</v>
      </c>
      <c r="C30" s="100">
        <f>'[1]Weighted mean - calcs'!D15</f>
        <v>0.60983199524234322</v>
      </c>
      <c r="D30" s="100"/>
      <c r="E30" s="100">
        <f>'[1]Weighted mean - calcs'!F15</f>
        <v>0.39899197145405879</v>
      </c>
      <c r="G30" s="100">
        <f t="shared" si="4"/>
        <v>2.9831995242343257E-2</v>
      </c>
      <c r="I30" s="100">
        <f t="shared" si="1"/>
        <v>-0.18100802854594117</v>
      </c>
      <c r="J30" s="101">
        <f t="shared" si="18"/>
        <v>758</v>
      </c>
      <c r="L30" s="100">
        <f>C30-L15</f>
        <v>-7.0168004757656832E-2</v>
      </c>
      <c r="N30" s="100">
        <f t="shared" si="31"/>
        <v>9.8991971454058802E-2</v>
      </c>
      <c r="O30" s="101">
        <f t="shared" si="32"/>
        <v>354</v>
      </c>
      <c r="Q30" s="100">
        <f t="shared" si="5"/>
        <v>-0.13016800475765677</v>
      </c>
      <c r="S30" s="100">
        <f t="shared" si="33"/>
        <v>-0.11100802854594122</v>
      </c>
      <c r="T30" s="101">
        <f t="shared" si="34"/>
        <v>353</v>
      </c>
      <c r="V30" s="100">
        <f t="shared" si="6"/>
        <v>-8.016800475765673E-2</v>
      </c>
      <c r="X30" s="100">
        <f t="shared" si="35"/>
        <v>4.8991971454058814E-2</v>
      </c>
      <c r="Y30" s="101">
        <f t="shared" si="21"/>
        <v>288</v>
      </c>
      <c r="AA30" s="100">
        <f t="shared" si="7"/>
        <v>-0.10016800475765675</v>
      </c>
      <c r="AC30" s="100">
        <f t="shared" si="36"/>
        <v>0.11899197145405876</v>
      </c>
      <c r="AD30" s="101">
        <f t="shared" si="22"/>
        <v>463</v>
      </c>
      <c r="AF30" s="100">
        <f t="shared" si="8"/>
        <v>0.1498319952423432</v>
      </c>
      <c r="AH30" s="100">
        <f t="shared" si="37"/>
        <v>-0.19100802854594118</v>
      </c>
      <c r="AI30" s="101">
        <f t="shared" si="23"/>
        <v>609</v>
      </c>
      <c r="AK30" s="100">
        <f t="shared" si="9"/>
        <v>-0.11016800475765676</v>
      </c>
      <c r="AM30" s="100">
        <f t="shared" si="38"/>
        <v>5.8991971454058767E-2</v>
      </c>
      <c r="AN30" s="101">
        <f t="shared" si="24"/>
        <v>506</v>
      </c>
      <c r="AP30" s="100">
        <f t="shared" si="10"/>
        <v>-8.016800475765673E-2</v>
      </c>
      <c r="AR30" s="100">
        <f t="shared" si="39"/>
        <v>1.8991971454058787E-2</v>
      </c>
      <c r="AS30" s="101">
        <f t="shared" si="25"/>
        <v>524</v>
      </c>
      <c r="AU30" s="100">
        <f t="shared" si="11"/>
        <v>-5.0168004757656814E-2</v>
      </c>
      <c r="AW30" s="100">
        <f t="shared" si="40"/>
        <v>5.8991971454058767E-2</v>
      </c>
      <c r="AX30" s="101">
        <f t="shared" si="26"/>
        <v>212</v>
      </c>
      <c r="AZ30" s="100">
        <f t="shared" si="12"/>
        <v>-5.0168004757656814E-2</v>
      </c>
      <c r="BB30" s="100">
        <f t="shared" si="41"/>
        <v>-5.100802854594122E-2</v>
      </c>
      <c r="BC30" s="101">
        <f t="shared" si="27"/>
        <v>374</v>
      </c>
      <c r="BE30" s="100">
        <f t="shared" si="13"/>
        <v>-7.0168004757656832E-2</v>
      </c>
      <c r="BG30" s="100">
        <f t="shared" si="42"/>
        <v>1.8991971454058787E-2</v>
      </c>
      <c r="BH30" s="101">
        <f t="shared" si="28"/>
        <v>663</v>
      </c>
      <c r="BJ30" s="100">
        <f t="shared" si="14"/>
        <v>0.20983199524234319</v>
      </c>
      <c r="BL30" s="100">
        <f t="shared" si="43"/>
        <v>4.8991971454058814E-2</v>
      </c>
      <c r="BM30" s="101">
        <f t="shared" si="29"/>
        <v>696</v>
      </c>
      <c r="BO30" s="100">
        <f t="shared" si="15"/>
        <v>2.9831995242343257E-2</v>
      </c>
      <c r="BQ30" s="100">
        <f t="shared" si="44"/>
        <v>0.17899197145405879</v>
      </c>
      <c r="BR30" s="101">
        <f t="shared" si="30"/>
        <v>706</v>
      </c>
      <c r="BT30" s="100">
        <f t="shared" si="16"/>
        <v>0.1498319952423432</v>
      </c>
      <c r="BV30" s="100">
        <f t="shared" si="45"/>
        <v>-8.1008028545941191E-2</v>
      </c>
      <c r="BW30" s="100">
        <f t="shared" si="17"/>
        <v>220</v>
      </c>
    </row>
    <row r="31" spans="1:75">
      <c r="A31">
        <v>12</v>
      </c>
      <c r="C31" s="100">
        <f>'[1]Weighted mean - calcs'!D16</f>
        <v>0.6975340469818615</v>
      </c>
      <c r="D31" s="100"/>
      <c r="E31" s="100">
        <f>'[1]Weighted mean - calcs'!F16</f>
        <v>0.1974659530181386</v>
      </c>
      <c r="G31" s="100">
        <f t="shared" si="4"/>
        <v>6.4534046981861493E-2</v>
      </c>
      <c r="I31" s="100">
        <f t="shared" si="1"/>
        <v>-0.19453404698186141</v>
      </c>
      <c r="J31" s="101">
        <f t="shared" si="18"/>
        <v>758</v>
      </c>
      <c r="L31" s="100">
        <f>C31-L16</f>
        <v>-2.2465953018138474E-2</v>
      </c>
      <c r="N31" s="100">
        <f t="shared" si="31"/>
        <v>0.25746595301813857</v>
      </c>
      <c r="O31" s="101">
        <f t="shared" si="32"/>
        <v>354</v>
      </c>
      <c r="Q31" s="100">
        <f t="shared" si="5"/>
        <v>-6.2465953018138509E-2</v>
      </c>
      <c r="S31" s="100">
        <f t="shared" si="33"/>
        <v>-0.19253404698186141</v>
      </c>
      <c r="T31" s="101">
        <f t="shared" si="34"/>
        <v>353</v>
      </c>
      <c r="V31" s="100">
        <f t="shared" si="6"/>
        <v>-5.24659530181385E-2</v>
      </c>
      <c r="X31" s="100">
        <f t="shared" si="35"/>
        <v>-4.253404698186139E-2</v>
      </c>
      <c r="Y31" s="101">
        <f t="shared" si="21"/>
        <v>288</v>
      </c>
      <c r="AA31" s="100">
        <f t="shared" si="7"/>
        <v>-0.10246595301813854</v>
      </c>
      <c r="AC31" s="100">
        <f t="shared" si="36"/>
        <v>9.7465953018138596E-2</v>
      </c>
      <c r="AD31" s="101">
        <f t="shared" si="22"/>
        <v>463</v>
      </c>
      <c r="AF31" s="100">
        <f t="shared" si="8"/>
        <v>0.17753404698186148</v>
      </c>
      <c r="AH31" s="100">
        <f t="shared" si="37"/>
        <v>-0.16253404698186139</v>
      </c>
      <c r="AI31" s="101">
        <f t="shared" si="23"/>
        <v>609</v>
      </c>
      <c r="AK31" s="100">
        <f t="shared" si="9"/>
        <v>-0.12246595301813845</v>
      </c>
      <c r="AM31" s="100">
        <f t="shared" si="38"/>
        <v>3.7465953018138598E-2</v>
      </c>
      <c r="AN31" s="101">
        <f t="shared" si="24"/>
        <v>506</v>
      </c>
      <c r="AP31" s="100">
        <f t="shared" si="10"/>
        <v>-8.2465953018138527E-2</v>
      </c>
      <c r="AR31" s="100">
        <f t="shared" si="39"/>
        <v>1.7465953018138608E-2</v>
      </c>
      <c r="AS31" s="101">
        <f t="shared" si="25"/>
        <v>524</v>
      </c>
      <c r="AU31" s="100">
        <f t="shared" si="11"/>
        <v>-2.4659530181384559E-3</v>
      </c>
      <c r="AW31" s="100">
        <f t="shared" si="40"/>
        <v>-0.17253404698186139</v>
      </c>
      <c r="AX31" s="101">
        <f t="shared" si="26"/>
        <v>212</v>
      </c>
      <c r="AZ31" s="100">
        <f t="shared" si="12"/>
        <v>-7.2465953018138518E-2</v>
      </c>
      <c r="BB31" s="100">
        <f t="shared" si="41"/>
        <v>-0.10253404698186139</v>
      </c>
      <c r="BC31" s="101">
        <f t="shared" si="27"/>
        <v>374</v>
      </c>
      <c r="BE31" s="100">
        <f t="shared" si="13"/>
        <v>-0.10246595301813854</v>
      </c>
      <c r="BG31" s="100">
        <f t="shared" si="42"/>
        <v>2.7465953018138589E-2</v>
      </c>
      <c r="BH31" s="101">
        <f t="shared" si="28"/>
        <v>663</v>
      </c>
      <c r="BJ31" s="100">
        <f t="shared" si="14"/>
        <v>0.12753404698186155</v>
      </c>
      <c r="BL31" s="100">
        <f t="shared" si="43"/>
        <v>0.1974659530181386</v>
      </c>
      <c r="BM31" s="101">
        <f t="shared" si="29"/>
        <v>696</v>
      </c>
      <c r="BO31" s="100">
        <f t="shared" si="15"/>
        <v>2.753404698186146E-2</v>
      </c>
      <c r="BQ31" s="100">
        <f t="shared" si="44"/>
        <v>0.14746595301813858</v>
      </c>
      <c r="BR31" s="101">
        <f t="shared" si="30"/>
        <v>706</v>
      </c>
      <c r="BT31" s="100">
        <f t="shared" si="16"/>
        <v>0.12753404698186155</v>
      </c>
      <c r="BV31" s="100">
        <f t="shared" si="45"/>
        <v>-0.10253404698186139</v>
      </c>
      <c r="BW31" s="100">
        <f t="shared" si="17"/>
        <v>220</v>
      </c>
    </row>
    <row r="32" spans="1:75">
      <c r="O32" s="101"/>
      <c r="T32" s="101"/>
    </row>
    <row r="33" spans="1:74" s="1" customFormat="1">
      <c r="G33" s="212" t="s">
        <v>264</v>
      </c>
      <c r="H33" s="212"/>
      <c r="I33" s="212"/>
      <c r="J33" s="98"/>
      <c r="K33" s="99"/>
      <c r="L33" s="212" t="s">
        <v>264</v>
      </c>
      <c r="M33" s="212"/>
      <c r="N33" s="212"/>
      <c r="O33" s="98"/>
      <c r="P33" s="99"/>
      <c r="Q33" s="212" t="s">
        <v>264</v>
      </c>
      <c r="R33" s="212"/>
      <c r="S33" s="212"/>
      <c r="T33" s="98"/>
      <c r="V33" s="1" t="s">
        <v>264</v>
      </c>
      <c r="Y33" s="98"/>
      <c r="AA33" s="1" t="s">
        <v>264</v>
      </c>
      <c r="AD33" s="98"/>
      <c r="AF33" s="1" t="s">
        <v>264</v>
      </c>
      <c r="AI33" s="98"/>
      <c r="AK33" s="1" t="s">
        <v>264</v>
      </c>
      <c r="AN33" s="98"/>
      <c r="AP33" s="1" t="s">
        <v>264</v>
      </c>
      <c r="AS33" s="98"/>
      <c r="AU33" s="1" t="s">
        <v>264</v>
      </c>
      <c r="AX33" s="98"/>
      <c r="AZ33" s="1" t="s">
        <v>264</v>
      </c>
      <c r="BC33" s="98"/>
      <c r="BE33" s="1" t="s">
        <v>264</v>
      </c>
      <c r="BH33" s="98"/>
      <c r="BJ33" s="1" t="s">
        <v>264</v>
      </c>
      <c r="BM33" s="98"/>
      <c r="BO33" s="1" t="s">
        <v>264</v>
      </c>
      <c r="BR33" s="98"/>
      <c r="BT33" s="1" t="s">
        <v>264</v>
      </c>
    </row>
    <row r="34" spans="1:74">
      <c r="A34">
        <v>1</v>
      </c>
      <c r="G34" s="100">
        <f>G19*G19*J19</f>
        <v>3.1898166518520329E-2</v>
      </c>
      <c r="H34" s="100">
        <f>H19*H19*J19</f>
        <v>6.1125071993022955</v>
      </c>
      <c r="L34" s="100">
        <f>L19*L19*O19</f>
        <v>4.4792822960702363</v>
      </c>
      <c r="M34" s="100">
        <f>M19*M19*O19</f>
        <v>334.78880650659653</v>
      </c>
      <c r="O34" s="101"/>
      <c r="Q34" s="100">
        <f>Q19*Q19*T19</f>
        <v>7.6813032827450352</v>
      </c>
      <c r="R34" s="100">
        <f>R19*R19*T19</f>
        <v>2.7212045285884696</v>
      </c>
      <c r="T34" s="101"/>
      <c r="V34" s="100">
        <f>V19*V19*Y19</f>
        <v>0.21800493667801762</v>
      </c>
      <c r="W34" s="100">
        <f>W19*W19*Y19</f>
        <v>22.935451854156547</v>
      </c>
      <c r="X34" s="100"/>
      <c r="AA34" s="100">
        <f>AA19*AA19*AD19</f>
        <v>0.14200343718850539</v>
      </c>
      <c r="AB34" s="100">
        <f>AB19*AB19*AD19</f>
        <v>6.8915834497116316E-2</v>
      </c>
      <c r="AC34" s="100"/>
      <c r="AE34" s="100"/>
      <c r="AF34" s="100">
        <f>AF19*AF19*AI19</f>
        <v>1.374804699350096</v>
      </c>
      <c r="AG34" s="100">
        <f>AG19*AG19*AI19</f>
        <v>106.30498427841525</v>
      </c>
      <c r="AH34" s="100"/>
      <c r="AJ34" s="100"/>
      <c r="AK34" s="100">
        <f>AK19*AK19*AN19</f>
        <v>0.53403715647030503</v>
      </c>
      <c r="AL34" s="100">
        <f>AL19*AL19*AN19</f>
        <v>34.786981494441946</v>
      </c>
      <c r="AM34" s="100"/>
      <c r="AO34" s="100"/>
      <c r="AP34" s="100">
        <f>AP19*AP19*AS19</f>
        <v>0.39664787090028203</v>
      </c>
      <c r="AQ34" s="100"/>
      <c r="AR34" s="100"/>
      <c r="AT34" s="100"/>
      <c r="AU34" s="100">
        <f>AU19*AU19*AX19</f>
        <v>1.8134177294931473</v>
      </c>
      <c r="AV34" s="100">
        <f>AV19*AV19*AX19</f>
        <v>22.008357323561363</v>
      </c>
      <c r="AW34" s="100"/>
      <c r="AY34" s="100"/>
      <c r="AZ34" s="100">
        <f>AZ19*AZ19*BC19</f>
        <v>2.8642841504423284</v>
      </c>
      <c r="BA34" s="100">
        <f>BA19*BA19*BC19</f>
        <v>3.8303180885898729</v>
      </c>
      <c r="BB34" s="100"/>
      <c r="BD34" s="100"/>
      <c r="BE34" s="100">
        <f>BE19*BE19*BH19</f>
        <v>0.20334401480773018</v>
      </c>
      <c r="BF34" s="100">
        <f>BF19*BF19*BH19</f>
        <v>4.013006305971242</v>
      </c>
      <c r="BG34" s="100"/>
      <c r="BI34" s="100"/>
      <c r="BJ34" s="100">
        <f>BJ19*BJ19*BM19</f>
        <v>4.7356646748784996</v>
      </c>
      <c r="BK34" s="100">
        <f>BK19*BK19*BM19</f>
        <v>4.2341838988598106E-2</v>
      </c>
      <c r="BL34" s="100"/>
      <c r="BN34" s="100"/>
      <c r="BO34" s="100">
        <f>BO19*BO19*BR19</f>
        <v>1.5937801604945283</v>
      </c>
      <c r="BP34" s="100">
        <f>BP19*BP19*BR19</f>
        <v>6.5336696827815963</v>
      </c>
      <c r="BQ34" s="100"/>
      <c r="BT34" s="100">
        <f>BT19*BT19*BW19</f>
        <v>11.891051798628245</v>
      </c>
      <c r="BU34" s="100">
        <f>BU19*BU19*BW19</f>
        <v>17.520136833036251</v>
      </c>
      <c r="BV34" s="100"/>
    </row>
    <row r="35" spans="1:74">
      <c r="A35">
        <v>2</v>
      </c>
      <c r="G35" s="100">
        <f t="shared" ref="G35:G46" si="46">G20*G20*J20</f>
        <v>1.3215189904585633E-2</v>
      </c>
      <c r="H35" s="100">
        <f t="shared" ref="H35:H40" si="47">H20*H20*J20</f>
        <v>59.410364352818959</v>
      </c>
      <c r="L35" s="100">
        <f t="shared" ref="L35:L46" si="48">L20*L20*O20</f>
        <v>0.158733316712834</v>
      </c>
      <c r="M35" s="100">
        <f t="shared" ref="M35:M40" si="49">M20*M20*O20</f>
        <v>150.10642594829176</v>
      </c>
      <c r="O35" s="101"/>
      <c r="Q35" s="100">
        <f t="shared" ref="Q35:Q46" si="50">Q20*Q20*T20</f>
        <v>7.8185087771622017</v>
      </c>
      <c r="R35" s="100">
        <f t="shared" ref="R35:R40" si="51">R20*R20*T20</f>
        <v>0.40711644572664418</v>
      </c>
      <c r="T35" s="101"/>
      <c r="V35" s="100">
        <f t="shared" ref="V35:V46" si="52">V20*V20*Y20</f>
        <v>0.43411581163434881</v>
      </c>
      <c r="W35" s="100">
        <f t="shared" ref="W35:W40" si="53">W20*W20*Y20</f>
        <v>25.240171112892497</v>
      </c>
      <c r="X35" s="100"/>
      <c r="AA35" s="100">
        <f t="shared" ref="AA35:AA46" si="54">AA20*AA20*AD20</f>
        <v>1.7327470751000302</v>
      </c>
      <c r="AB35" s="100">
        <f t="shared" ref="AB35:AB40" si="55">AB20*AB20*AD20</f>
        <v>3.42750746045169</v>
      </c>
      <c r="AC35" s="100"/>
      <c r="AE35" s="100"/>
      <c r="AF35" s="100">
        <f t="shared" ref="AF35:AF46" si="56">AF20*AF20*AI20</f>
        <v>8.4142843951975899E-4</v>
      </c>
      <c r="AG35" s="100">
        <f t="shared" ref="AG35:AG40" si="57">AG20*AG20*AI20</f>
        <v>6.5819205608378004</v>
      </c>
      <c r="AH35" s="100"/>
      <c r="AJ35" s="100"/>
      <c r="AK35" s="100">
        <f t="shared" ref="AK35:AK46" si="58">AK20*AK20*AN20</f>
        <v>6.2541489424438321</v>
      </c>
      <c r="AL35" s="100">
        <f t="shared" ref="AL35:AL40" si="59">AL20*AL20*AN20</f>
        <v>345.26481293152102</v>
      </c>
      <c r="AM35" s="100"/>
      <c r="AO35" s="100"/>
      <c r="AP35" s="100">
        <f t="shared" ref="AP35:AP46" si="60">AP20*AP20*AS20</f>
        <v>1.2491310052323792</v>
      </c>
      <c r="AQ35" s="100"/>
      <c r="AR35" s="100"/>
      <c r="AT35" s="100"/>
      <c r="AU35" s="100">
        <f t="shared" ref="AU35:AU46" si="61">AU20*AU20*AX20</f>
        <v>1.6509051400430762E-2</v>
      </c>
      <c r="AV35" s="100">
        <f t="shared" ref="AV35:AV40" si="62">AV20*AV20*AX20</f>
        <v>3.3678313764252623</v>
      </c>
      <c r="AW35" s="100"/>
      <c r="AY35" s="100"/>
      <c r="AZ35" s="100">
        <f t="shared" ref="AZ35:AZ46" si="63">AZ20*AZ20*BC20</f>
        <v>2.3237784936903676</v>
      </c>
      <c r="BA35" s="100">
        <f t="shared" ref="BA35:BA40" si="64">BA20*BA20*BC20</f>
        <v>1.3642603241550325E-2</v>
      </c>
      <c r="BB35" s="100"/>
      <c r="BD35" s="100"/>
      <c r="BE35" s="100">
        <f t="shared" ref="BE35:BE46" si="65">BE20*BE20*BH20</f>
        <v>3.1405118273314878</v>
      </c>
      <c r="BF35" s="100">
        <f t="shared" ref="BF35:BF40" si="66">BF20*BF20*BH20</f>
        <v>5.85332508565316</v>
      </c>
      <c r="BG35" s="100"/>
      <c r="BI35" s="100"/>
      <c r="BJ35" s="100">
        <f t="shared" ref="BJ35:BJ46" si="67">BJ20*BJ20*BM20</f>
        <v>4.5862584746075719</v>
      </c>
      <c r="BK35" s="100">
        <f t="shared" ref="BK35:BK40" si="68">BK20*BK20*BM20</f>
        <v>14.424306400389924</v>
      </c>
      <c r="BL35" s="100"/>
      <c r="BN35" s="100"/>
      <c r="BO35" s="100">
        <f t="shared" ref="BO35:BO46" si="69">BO20*BO20*BR20</f>
        <v>5.497825607879301E-2</v>
      </c>
      <c r="BP35" s="100">
        <f t="shared" ref="BP35:BP40" si="70">BP20*BP20*BR20</f>
        <v>9.1687923754906961</v>
      </c>
      <c r="BQ35" s="100"/>
      <c r="BT35" s="100">
        <f t="shared" ref="BT35:BT46" si="71">BT20*BT20*BW20</f>
        <v>1.82885133271776</v>
      </c>
      <c r="BU35" s="100">
        <f t="shared" ref="BU35:BU40" si="72">BU20*BU20*BW20</f>
        <v>0.64057791464841496</v>
      </c>
      <c r="BV35" s="100"/>
    </row>
    <row r="36" spans="1:74">
      <c r="A36">
        <v>3</v>
      </c>
      <c r="G36" s="100">
        <f t="shared" si="46"/>
        <v>18.311004209984326</v>
      </c>
      <c r="H36" s="100">
        <f t="shared" si="47"/>
        <v>7.7906822637338715</v>
      </c>
      <c r="L36" s="100">
        <f t="shared" si="48"/>
        <v>1.7135903219243422</v>
      </c>
      <c r="M36" s="100">
        <f t="shared" si="49"/>
        <v>65.584116637713834</v>
      </c>
      <c r="O36" s="101"/>
      <c r="Q36" s="100">
        <f t="shared" si="50"/>
        <v>18.604717319230826</v>
      </c>
      <c r="R36" s="100">
        <f t="shared" si="51"/>
        <v>0.34760508264126205</v>
      </c>
      <c r="T36" s="101"/>
      <c r="V36" s="100">
        <f t="shared" si="52"/>
        <v>1.3941073805486173</v>
      </c>
      <c r="W36" s="100">
        <f t="shared" si="53"/>
        <v>0.49314843265027308</v>
      </c>
      <c r="X36" s="100"/>
      <c r="AA36" s="100">
        <f t="shared" si="54"/>
        <v>4.5907087514077372</v>
      </c>
      <c r="AB36" s="100">
        <f t="shared" si="55"/>
        <v>13.598853066559229</v>
      </c>
      <c r="AC36" s="100"/>
      <c r="AE36" s="100"/>
      <c r="AF36" s="100">
        <f t="shared" si="56"/>
        <v>6.6189238029530764E-2</v>
      </c>
      <c r="AG36" s="100">
        <f t="shared" si="57"/>
        <v>13.451497587467243</v>
      </c>
      <c r="AH36" s="100"/>
      <c r="AJ36" s="100"/>
      <c r="AK36" s="100">
        <f t="shared" si="58"/>
        <v>20.154027855334604</v>
      </c>
      <c r="AL36" s="100">
        <f t="shared" si="59"/>
        <v>22.022243815348713</v>
      </c>
      <c r="AM36" s="100"/>
      <c r="AO36" s="100"/>
      <c r="AP36" s="100">
        <f t="shared" si="60"/>
        <v>35.306632001944507</v>
      </c>
      <c r="AQ36" s="100"/>
      <c r="AR36" s="100"/>
      <c r="AT36" s="100"/>
      <c r="AU36" s="100">
        <f t="shared" si="61"/>
        <v>6.0961887922556146</v>
      </c>
      <c r="AV36" s="100">
        <f t="shared" si="62"/>
        <v>0.50114361116203887</v>
      </c>
      <c r="AW36" s="100"/>
      <c r="AY36" s="100"/>
      <c r="AZ36" s="100">
        <f t="shared" si="63"/>
        <v>7.2859390466242022</v>
      </c>
      <c r="BA36" s="100">
        <f t="shared" si="64"/>
        <v>57.288744377181793</v>
      </c>
      <c r="BB36" s="100"/>
      <c r="BD36" s="100"/>
      <c r="BE36" s="100">
        <f t="shared" si="65"/>
        <v>34.943137627903788</v>
      </c>
      <c r="BF36" s="100">
        <f t="shared" si="66"/>
        <v>34.653029606754288</v>
      </c>
      <c r="BG36" s="100"/>
      <c r="BI36" s="100"/>
      <c r="BJ36" s="100">
        <f t="shared" si="67"/>
        <v>100.7274478764686</v>
      </c>
      <c r="BK36" s="100">
        <f t="shared" si="68"/>
        <v>28.22557350854041</v>
      </c>
      <c r="BL36" s="100"/>
      <c r="BN36" s="100"/>
      <c r="BO36" s="100">
        <f t="shared" si="69"/>
        <v>81.817865146936256</v>
      </c>
      <c r="BP36" s="100">
        <f t="shared" si="70"/>
        <v>1.3448960145487196E-3</v>
      </c>
      <c r="BQ36" s="100"/>
      <c r="BT36" s="100">
        <f t="shared" si="71"/>
        <v>1.7988783148444529</v>
      </c>
      <c r="BU36" s="100">
        <f t="shared" si="72"/>
        <v>5.5352530139501077</v>
      </c>
      <c r="BV36" s="100"/>
    </row>
    <row r="37" spans="1:74">
      <c r="A37">
        <v>4</v>
      </c>
      <c r="G37" s="100">
        <f t="shared" si="46"/>
        <v>17.883408287215051</v>
      </c>
      <c r="H37" s="100">
        <f t="shared" si="47"/>
        <v>4.0194571273799271</v>
      </c>
      <c r="L37" s="100">
        <f t="shared" si="48"/>
        <v>5.9458188126516101</v>
      </c>
      <c r="M37" s="100">
        <f t="shared" si="49"/>
        <v>95.574305128441083</v>
      </c>
      <c r="O37" s="101"/>
      <c r="Q37" s="100">
        <f t="shared" si="50"/>
        <v>15.626695815708347</v>
      </c>
      <c r="R37" s="100">
        <f t="shared" si="51"/>
        <v>7.0981204462864364E-2</v>
      </c>
      <c r="T37" s="101"/>
      <c r="V37" s="100">
        <f t="shared" si="52"/>
        <v>7.4097320581072923</v>
      </c>
      <c r="W37" s="100">
        <f t="shared" si="53"/>
        <v>5.7911011006529567E-2</v>
      </c>
      <c r="X37" s="100"/>
      <c r="AA37" s="100">
        <f t="shared" si="54"/>
        <v>16.784792021245362</v>
      </c>
      <c r="AB37" s="100">
        <f t="shared" si="55"/>
        <v>1.9071462365363419</v>
      </c>
      <c r="AC37" s="100"/>
      <c r="AE37" s="100"/>
      <c r="AF37" s="100">
        <f t="shared" si="56"/>
        <v>41.041750223192352</v>
      </c>
      <c r="AG37" s="100">
        <f t="shared" si="57"/>
        <v>1.188704520993374</v>
      </c>
      <c r="AH37" s="100"/>
      <c r="AJ37" s="100"/>
      <c r="AK37" s="100">
        <f t="shared" si="58"/>
        <v>20.321089203810963</v>
      </c>
      <c r="AL37" s="100">
        <f t="shared" si="59"/>
        <v>5.491884913419967</v>
      </c>
      <c r="AM37" s="100"/>
      <c r="AO37" s="100"/>
      <c r="AP37" s="100">
        <f t="shared" si="60"/>
        <v>11.853001334933019</v>
      </c>
      <c r="AQ37" s="100"/>
      <c r="AR37" s="100"/>
      <c r="AT37" s="100"/>
      <c r="AU37" s="100">
        <f t="shared" si="61"/>
        <v>1.3704100293429504</v>
      </c>
      <c r="AV37" s="100">
        <f t="shared" si="62"/>
        <v>5.8291911572967328</v>
      </c>
      <c r="AW37" s="100"/>
      <c r="AY37" s="100"/>
      <c r="AZ37" s="100">
        <f t="shared" si="63"/>
        <v>1.8536163667413523</v>
      </c>
      <c r="BA37" s="100">
        <f t="shared" si="64"/>
        <v>15.843299567611581</v>
      </c>
      <c r="BB37" s="100"/>
      <c r="BD37" s="100"/>
      <c r="BE37" s="100">
        <f t="shared" si="65"/>
        <v>17.057820675434495</v>
      </c>
      <c r="BF37" s="100">
        <f t="shared" si="66"/>
        <v>24.999061487604823</v>
      </c>
      <c r="BG37" s="100"/>
      <c r="BI37" s="100"/>
      <c r="BJ37" s="100">
        <f t="shared" si="67"/>
        <v>22.450227888567479</v>
      </c>
      <c r="BK37" s="100">
        <f t="shared" si="68"/>
        <v>7.7936802394068074</v>
      </c>
      <c r="BL37" s="100"/>
      <c r="BN37" s="100"/>
      <c r="BO37" s="100">
        <f t="shared" si="69"/>
        <v>10.098696787527309</v>
      </c>
      <c r="BP37" s="100">
        <f t="shared" si="70"/>
        <v>0.17668640763582188</v>
      </c>
      <c r="BQ37" s="100"/>
      <c r="BT37" s="100">
        <f t="shared" si="71"/>
        <v>0.34499105514179856</v>
      </c>
      <c r="BU37" s="100">
        <f t="shared" si="72"/>
        <v>0.90620339533044325</v>
      </c>
      <c r="BV37" s="100"/>
    </row>
    <row r="38" spans="1:74">
      <c r="A38">
        <v>5</v>
      </c>
      <c r="G38" s="100">
        <f t="shared" si="46"/>
        <v>0.33441054480440835</v>
      </c>
      <c r="H38" s="100">
        <f t="shared" si="47"/>
        <v>12.934684879033613</v>
      </c>
      <c r="L38" s="100">
        <f t="shared" si="48"/>
        <v>2.6791695850822395</v>
      </c>
      <c r="M38" s="100">
        <f t="shared" si="49"/>
        <v>66.372382216661194</v>
      </c>
      <c r="O38" s="101"/>
      <c r="Q38" s="100">
        <f t="shared" si="50"/>
        <v>1.5844200902685963</v>
      </c>
      <c r="R38" s="100">
        <f t="shared" si="51"/>
        <v>4.1655774964075718</v>
      </c>
      <c r="T38" s="101"/>
      <c r="V38" s="100">
        <f t="shared" si="52"/>
        <v>4.6448474768911723</v>
      </c>
      <c r="W38" s="100">
        <f t="shared" si="53"/>
        <v>0.42977840209787588</v>
      </c>
      <c r="X38" s="100"/>
      <c r="AA38" s="100">
        <f t="shared" si="54"/>
        <v>2.0781487302956374</v>
      </c>
      <c r="AB38" s="100">
        <f t="shared" si="55"/>
        <v>28.621241475074395</v>
      </c>
      <c r="AC38" s="100"/>
      <c r="AE38" s="100"/>
      <c r="AF38" s="100">
        <f t="shared" si="56"/>
        <v>0.17591481251659538</v>
      </c>
      <c r="AG38" s="100">
        <f t="shared" si="57"/>
        <v>0.21137253955652471</v>
      </c>
      <c r="AH38" s="100"/>
      <c r="AJ38" s="100"/>
      <c r="AK38" s="100">
        <f t="shared" si="58"/>
        <v>1.6437538731758321</v>
      </c>
      <c r="AL38" s="100">
        <f t="shared" si="59"/>
        <v>8.7325710487232993</v>
      </c>
      <c r="AM38" s="100"/>
      <c r="AO38" s="100"/>
      <c r="AP38" s="100">
        <f t="shared" si="60"/>
        <v>8.4510419371214383</v>
      </c>
      <c r="AQ38" s="100"/>
      <c r="AR38" s="100"/>
      <c r="AT38" s="100"/>
      <c r="AU38" s="100">
        <f t="shared" si="61"/>
        <v>0.29016269531835753</v>
      </c>
      <c r="AV38" s="100">
        <f t="shared" si="62"/>
        <v>3.9783349453699387E-4</v>
      </c>
      <c r="AW38" s="100"/>
      <c r="AY38" s="100"/>
      <c r="AZ38" s="100">
        <f t="shared" si="63"/>
        <v>3.5186639594996123</v>
      </c>
      <c r="BA38" s="100">
        <f t="shared" si="64"/>
        <v>0.30656171579358571</v>
      </c>
      <c r="BB38" s="100"/>
      <c r="BD38" s="100"/>
      <c r="BE38" s="100">
        <f t="shared" si="65"/>
        <v>1.4643075681357438</v>
      </c>
      <c r="BF38" s="100">
        <f t="shared" si="66"/>
        <v>17.264678053800253</v>
      </c>
      <c r="BG38" s="100"/>
      <c r="BI38" s="100"/>
      <c r="BJ38" s="100">
        <f t="shared" si="67"/>
        <v>55.743583947833429</v>
      </c>
      <c r="BK38" s="100">
        <f t="shared" si="68"/>
        <v>3.2782249210539542</v>
      </c>
      <c r="BL38" s="100"/>
      <c r="BN38" s="100"/>
      <c r="BO38" s="100">
        <f t="shared" si="69"/>
        <v>12.489215797545823</v>
      </c>
      <c r="BP38" s="100">
        <f t="shared" si="70"/>
        <v>1.6696112843340105</v>
      </c>
      <c r="BQ38" s="100"/>
      <c r="BT38" s="100">
        <f t="shared" si="71"/>
        <v>6.3548864948523784E-2</v>
      </c>
      <c r="BU38" s="100">
        <f t="shared" si="72"/>
        <v>152.05869327174841</v>
      </c>
      <c r="BV38" s="100"/>
    </row>
    <row r="39" spans="1:74">
      <c r="A39">
        <v>6</v>
      </c>
      <c r="G39" s="100">
        <f t="shared" si="46"/>
        <v>10.600773933132478</v>
      </c>
      <c r="H39" s="100">
        <f t="shared" si="47"/>
        <v>3.6421408375228439</v>
      </c>
      <c r="L39" s="100">
        <f t="shared" si="48"/>
        <v>4.1488835352207367</v>
      </c>
      <c r="M39" s="100">
        <f t="shared" si="49"/>
        <v>437.53269406153663</v>
      </c>
      <c r="O39" s="101"/>
      <c r="Q39" s="100">
        <f t="shared" si="50"/>
        <v>15.31024856835049</v>
      </c>
      <c r="R39" s="100">
        <f t="shared" si="51"/>
        <v>1.1745209148120965</v>
      </c>
      <c r="T39" s="101"/>
      <c r="V39" s="100">
        <f t="shared" si="52"/>
        <v>1.3418756325792269</v>
      </c>
      <c r="W39" s="100">
        <f t="shared" si="53"/>
        <v>16.910737458873005</v>
      </c>
      <c r="X39" s="100"/>
      <c r="AA39" s="100">
        <f t="shared" si="54"/>
        <v>7.6165212101303634</v>
      </c>
      <c r="AB39" s="100">
        <f t="shared" si="55"/>
        <v>5.8408617391386706</v>
      </c>
      <c r="AC39" s="100"/>
      <c r="AE39" s="100"/>
      <c r="AF39" s="100">
        <f t="shared" si="56"/>
        <v>1.0610677053284716</v>
      </c>
      <c r="AG39" s="100">
        <f t="shared" si="57"/>
        <v>1.0905866097392314</v>
      </c>
      <c r="AH39" s="100"/>
      <c r="AJ39" s="100"/>
      <c r="AK39" s="100">
        <f t="shared" si="58"/>
        <v>11.122249168541803</v>
      </c>
      <c r="AL39" s="100">
        <f t="shared" si="59"/>
        <v>8.2492093062524372</v>
      </c>
      <c r="AM39" s="100"/>
      <c r="AO39" s="100"/>
      <c r="AP39" s="100">
        <f t="shared" si="60"/>
        <v>10.016548033996083</v>
      </c>
      <c r="AQ39" s="100"/>
      <c r="AR39" s="100"/>
      <c r="AT39" s="100"/>
      <c r="AU39" s="100">
        <f t="shared" si="61"/>
        <v>0.49373328573730901</v>
      </c>
      <c r="AV39" s="100">
        <f t="shared" si="62"/>
        <v>4.9185406183406535</v>
      </c>
      <c r="AW39" s="100"/>
      <c r="AY39" s="100"/>
      <c r="AZ39" s="100">
        <f t="shared" si="63"/>
        <v>4.3832837349507212</v>
      </c>
      <c r="BA39" s="100">
        <f t="shared" si="64"/>
        <v>6.5479761854900902</v>
      </c>
      <c r="BB39" s="100"/>
      <c r="BD39" s="100"/>
      <c r="BE39" s="100">
        <f t="shared" si="65"/>
        <v>7.7703666210490061</v>
      </c>
      <c r="BF39" s="100">
        <f t="shared" si="66"/>
        <v>0.50806557499026883</v>
      </c>
      <c r="BG39" s="100"/>
      <c r="BI39" s="100"/>
      <c r="BJ39" s="100">
        <f t="shared" si="67"/>
        <v>142.03267521108532</v>
      </c>
      <c r="BK39" s="100">
        <f t="shared" si="68"/>
        <v>2.3157692824623775</v>
      </c>
      <c r="BL39" s="100"/>
      <c r="BN39" s="100"/>
      <c r="BO39" s="100">
        <f t="shared" si="69"/>
        <v>41.257731748654685</v>
      </c>
      <c r="BP39" s="100">
        <f t="shared" si="70"/>
        <v>0.73736745361645439</v>
      </c>
      <c r="BQ39" s="100"/>
      <c r="BT39" s="100">
        <f t="shared" si="71"/>
        <v>7.2665544420491823</v>
      </c>
      <c r="BU39" s="100">
        <f t="shared" si="72"/>
        <v>3.8517506973471121</v>
      </c>
      <c r="BV39" s="100"/>
    </row>
    <row r="40" spans="1:74">
      <c r="A40">
        <v>7</v>
      </c>
      <c r="G40" s="100">
        <f t="shared" si="46"/>
        <v>8.2163528191770947</v>
      </c>
      <c r="H40" s="100">
        <f t="shared" si="47"/>
        <v>9.0694819687558574</v>
      </c>
      <c r="L40" s="100">
        <f t="shared" si="48"/>
        <v>6.8268519774012895E-2</v>
      </c>
      <c r="M40" s="100">
        <f t="shared" si="49"/>
        <v>34.877868519774033</v>
      </c>
      <c r="O40" s="101"/>
      <c r="Q40" s="100">
        <f t="shared" si="50"/>
        <v>0.24070663130007106</v>
      </c>
      <c r="R40" s="100">
        <f t="shared" si="51"/>
        <v>1.650793624791435</v>
      </c>
      <c r="T40" s="101"/>
      <c r="V40" s="100">
        <f t="shared" si="52"/>
        <v>0.61240557540936225</v>
      </c>
      <c r="W40" s="100">
        <f t="shared" si="53"/>
        <v>2.4172878290177162</v>
      </c>
      <c r="X40" s="100"/>
      <c r="AA40" s="100">
        <f t="shared" si="54"/>
        <v>0.12020803574962292</v>
      </c>
      <c r="AB40" s="100">
        <f t="shared" si="55"/>
        <v>4.481632607731787</v>
      </c>
      <c r="AC40" s="100"/>
      <c r="AE40" s="100"/>
      <c r="AF40" s="100">
        <f t="shared" si="56"/>
        <v>1.2949826230010473</v>
      </c>
      <c r="AG40" s="100">
        <f t="shared" si="57"/>
        <v>7.5869049072548425</v>
      </c>
      <c r="AH40" s="100"/>
      <c r="AJ40" s="100"/>
      <c r="AK40" s="100">
        <f t="shared" si="58"/>
        <v>4.6742800875865642</v>
      </c>
      <c r="AL40" s="100">
        <f t="shared" si="59"/>
        <v>20.568253991632034</v>
      </c>
      <c r="AM40" s="100"/>
      <c r="AO40" s="100"/>
      <c r="AP40" s="100">
        <f t="shared" si="60"/>
        <v>8.3339513682530377</v>
      </c>
      <c r="AQ40" s="100"/>
      <c r="AR40" s="100"/>
      <c r="AT40" s="100"/>
      <c r="AU40" s="100">
        <f t="shared" si="61"/>
        <v>2.3871131248364059</v>
      </c>
      <c r="AV40" s="100">
        <f t="shared" si="62"/>
        <v>4.2516364799999486</v>
      </c>
      <c r="AW40" s="100"/>
      <c r="AY40" s="100"/>
      <c r="AZ40" s="100">
        <f t="shared" si="63"/>
        <v>2.7733774756934424</v>
      </c>
      <c r="BA40" s="100">
        <f t="shared" si="64"/>
        <v>16.74810485028484</v>
      </c>
      <c r="BB40" s="100"/>
      <c r="BD40" s="100"/>
      <c r="BE40" s="100">
        <f t="shared" si="65"/>
        <v>16.158150024322488</v>
      </c>
      <c r="BF40" s="100">
        <f t="shared" si="66"/>
        <v>51.381206704121851</v>
      </c>
      <c r="BG40" s="100"/>
      <c r="BI40" s="100"/>
      <c r="BJ40" s="100">
        <f t="shared" si="67"/>
        <v>73.012343530403186</v>
      </c>
      <c r="BK40" s="100">
        <f t="shared" si="68"/>
        <v>20.498457101358003</v>
      </c>
      <c r="BL40" s="100"/>
      <c r="BN40" s="100"/>
      <c r="BO40" s="100">
        <f t="shared" si="69"/>
        <v>26.540072697628425</v>
      </c>
      <c r="BP40" s="100">
        <f t="shared" si="70"/>
        <v>101.08154452788021</v>
      </c>
      <c r="BQ40" s="100"/>
      <c r="BT40" s="100">
        <f t="shared" si="71"/>
        <v>8.2702776111589991</v>
      </c>
      <c r="BU40" s="100">
        <f t="shared" si="72"/>
        <v>93.412545634374752</v>
      </c>
      <c r="BV40" s="100"/>
    </row>
    <row r="41" spans="1:74">
      <c r="G41" s="100">
        <f t="shared" si="46"/>
        <v>0</v>
      </c>
      <c r="L41" s="100">
        <f t="shared" si="48"/>
        <v>0</v>
      </c>
      <c r="O41" s="101"/>
      <c r="Q41" s="100">
        <f t="shared" si="50"/>
        <v>0</v>
      </c>
      <c r="T41" s="101"/>
      <c r="V41" s="100"/>
      <c r="W41" s="100"/>
      <c r="X41" s="100"/>
      <c r="AA41" s="100"/>
      <c r="AB41" s="100"/>
      <c r="AC41" s="100"/>
      <c r="AE41" s="100"/>
      <c r="AF41" s="100"/>
      <c r="AG41" s="100"/>
      <c r="AH41" s="100"/>
      <c r="AJ41" s="100"/>
      <c r="AK41" s="100"/>
      <c r="AL41" s="100"/>
      <c r="AM41" s="100"/>
      <c r="AO41" s="100"/>
      <c r="AP41" s="100"/>
      <c r="AQ41" s="100"/>
      <c r="AR41" s="100"/>
      <c r="AT41" s="100"/>
      <c r="AU41" s="100"/>
      <c r="AV41" s="100"/>
      <c r="AW41" s="100"/>
      <c r="AY41" s="100"/>
      <c r="AZ41" s="100"/>
      <c r="BA41" s="100"/>
      <c r="BB41" s="100"/>
      <c r="BD41" s="100"/>
      <c r="BE41" s="100"/>
      <c r="BF41" s="100"/>
      <c r="BG41" s="100"/>
      <c r="BI41" s="100"/>
      <c r="BJ41" s="100"/>
      <c r="BK41" s="100"/>
      <c r="BL41" s="100"/>
      <c r="BN41" s="100"/>
      <c r="BO41" s="100"/>
      <c r="BP41" s="100"/>
      <c r="BQ41" s="100"/>
      <c r="BT41" s="100"/>
      <c r="BU41" s="100"/>
      <c r="BV41" s="100"/>
    </row>
    <row r="42" spans="1:74">
      <c r="A42">
        <v>8</v>
      </c>
      <c r="G42" s="100">
        <f t="shared" si="46"/>
        <v>3.4947611799144691</v>
      </c>
      <c r="I42" s="100">
        <f>I27*I27*J27</f>
        <v>98.845817916650816</v>
      </c>
      <c r="L42" s="100">
        <f t="shared" si="48"/>
        <v>5.8915386481368646E-2</v>
      </c>
      <c r="N42" s="100">
        <f>N27*N27*O27</f>
        <v>2.3307352270059339E-2</v>
      </c>
      <c r="O42" s="101"/>
      <c r="Q42" s="100">
        <f t="shared" si="50"/>
        <v>6.6350665324309341</v>
      </c>
      <c r="S42" s="100">
        <f>S27*S27*T27</f>
        <v>1.6377583365559432</v>
      </c>
      <c r="T42" s="101"/>
      <c r="V42" s="100">
        <f t="shared" si="52"/>
        <v>24.707753463399659</v>
      </c>
      <c r="W42" s="100"/>
      <c r="X42" s="100">
        <f>X27*X27*Y27</f>
        <v>56.235765481953884</v>
      </c>
      <c r="AA42" s="100">
        <f t="shared" si="54"/>
        <v>0.13537500072503525</v>
      </c>
      <c r="AB42" s="100"/>
      <c r="AC42" s="100">
        <f>AC27*AC27*AD27</f>
        <v>1.6465682307039704E-3</v>
      </c>
      <c r="AE42" s="100"/>
      <c r="AF42" s="100">
        <f t="shared" si="56"/>
        <v>9.1986880667522932</v>
      </c>
      <c r="AG42" s="100"/>
      <c r="AH42" s="100">
        <f>AH27*AH27*AI27</f>
        <v>37.490434744739332</v>
      </c>
      <c r="AJ42" s="100"/>
      <c r="AK42" s="100">
        <f t="shared" si="58"/>
        <v>5.80395333417066</v>
      </c>
      <c r="AL42" s="100"/>
      <c r="AM42" s="100">
        <f>AM27*AM27*AN27</f>
        <v>0.24236840986089214</v>
      </c>
      <c r="AO42" s="100"/>
      <c r="AP42" s="100">
        <f t="shared" si="60"/>
        <v>0.72121224915380333</v>
      </c>
      <c r="AQ42" s="100"/>
      <c r="AR42" s="100">
        <f>AR27*AR27*AS27</f>
        <v>3.1973566695213633</v>
      </c>
      <c r="AT42" s="100"/>
      <c r="AU42" s="100">
        <f t="shared" si="61"/>
        <v>0.83877715978991441</v>
      </c>
      <c r="AV42" s="100"/>
      <c r="AW42" s="100">
        <f>AW27*AW27*AX27</f>
        <v>4.6508160236312497</v>
      </c>
      <c r="AY42" s="100"/>
      <c r="AZ42" s="100">
        <f t="shared" si="63"/>
        <v>4.2898785513435307</v>
      </c>
      <c r="BA42" s="100"/>
      <c r="BB42" s="100">
        <f>BB27*BB27*BC27</f>
        <v>10.570129664768217</v>
      </c>
      <c r="BD42" s="100"/>
      <c r="BE42" s="100">
        <f t="shared" si="65"/>
        <v>0.91252618547513664</v>
      </c>
      <c r="BF42" s="100"/>
      <c r="BG42" s="100">
        <f>BG27*BG27*BH27</f>
        <v>3.0760163658260349</v>
      </c>
      <c r="BI42" s="100"/>
      <c r="BJ42" s="100">
        <f t="shared" si="67"/>
        <v>0.51112356093214273</v>
      </c>
      <c r="BK42" s="100"/>
      <c r="BL42" s="100">
        <f>BL27*BL27*BM27</f>
        <v>112.41249766672904</v>
      </c>
      <c r="BN42" s="100"/>
      <c r="BO42" s="100">
        <f t="shared" si="69"/>
        <v>6.6563636922778828</v>
      </c>
      <c r="BP42" s="100"/>
      <c r="BQ42" s="100">
        <f>BQ27*BQ27*BR27</f>
        <v>82.521453408169904</v>
      </c>
      <c r="BT42" s="100">
        <f t="shared" si="71"/>
        <v>12.980163294007159</v>
      </c>
      <c r="BU42" s="100"/>
      <c r="BV42" s="100">
        <f>BV27*BV27*BW27</f>
        <v>3.6109136979614673</v>
      </c>
    </row>
    <row r="43" spans="1:74">
      <c r="A43">
        <v>9</v>
      </c>
      <c r="G43" s="100">
        <f t="shared" si="46"/>
        <v>1.2496435672940753</v>
      </c>
      <c r="I43" s="100">
        <f t="shared" ref="I43:I46" si="73">I28*I28*J28</f>
        <v>20.922708177707086</v>
      </c>
      <c r="L43" s="100">
        <f t="shared" si="48"/>
        <v>4.5955737828064277E-3</v>
      </c>
      <c r="N43" s="100">
        <f t="shared" ref="N43:N46" si="74">N28*N28*O28</f>
        <v>20.366609048969433</v>
      </c>
      <c r="O43" s="101"/>
      <c r="Q43" s="100">
        <f t="shared" si="50"/>
        <v>2.6349458747191963</v>
      </c>
      <c r="S43" s="100">
        <f t="shared" ref="S43:S46" si="75">S28*S28*T28</f>
        <v>6.9240912878058965E-6</v>
      </c>
      <c r="T43" s="101"/>
      <c r="V43" s="100">
        <f t="shared" si="52"/>
        <v>0.61997142131126159</v>
      </c>
      <c r="W43" s="100"/>
      <c r="X43" s="100">
        <f t="shared" ref="X43:X46" si="76">X28*X28*Y28</f>
        <v>2.799894082080728E-2</v>
      </c>
      <c r="AA43" s="100">
        <f t="shared" si="54"/>
        <v>2.0411619956240523</v>
      </c>
      <c r="AB43" s="100"/>
      <c r="AC43" s="100">
        <f t="shared" ref="AC43:AC46" si="77">AC28*AC28*AD28</f>
        <v>4.5012186111228369E-2</v>
      </c>
      <c r="AE43" s="100"/>
      <c r="AF43" s="100">
        <f t="shared" si="56"/>
        <v>20.529434901017051</v>
      </c>
      <c r="AG43" s="100"/>
      <c r="AH43" s="100">
        <f t="shared" ref="AH43:AH46" si="78">AH28*AH28*AI28</f>
        <v>17.62911142813342</v>
      </c>
      <c r="AJ43" s="100"/>
      <c r="AK43" s="100">
        <f t="shared" si="58"/>
        <v>3.7770045682943723</v>
      </c>
      <c r="AL43" s="100"/>
      <c r="AM43" s="100">
        <f t="shared" ref="AM43:AM46" si="79">AM28*AM28*AN28</f>
        <v>1.272096633480845</v>
      </c>
      <c r="AO43" s="100"/>
      <c r="AP43" s="100">
        <f t="shared" si="60"/>
        <v>0.29192205955718237</v>
      </c>
      <c r="AQ43" s="100"/>
      <c r="AR43" s="100">
        <f t="shared" ref="AR43:AR46" si="80">AR28*AR28*AS28</f>
        <v>25.393901018664831</v>
      </c>
      <c r="AT43" s="100"/>
      <c r="AU43" s="100">
        <f t="shared" si="61"/>
        <v>0.14772157169151884</v>
      </c>
      <c r="AV43" s="100"/>
      <c r="AW43" s="100">
        <f t="shared" ref="AW43:AW46" si="81">AW28*AW28*AX28</f>
        <v>5.4177029273340578</v>
      </c>
      <c r="AY43" s="100"/>
      <c r="AZ43" s="100">
        <f t="shared" si="63"/>
        <v>1.1895510893994408</v>
      </c>
      <c r="BA43" s="100"/>
      <c r="BB43" s="100">
        <f t="shared" ref="BB43:BB46" si="82">BB28*BB28*BC28</f>
        <v>0.94024533779018982</v>
      </c>
      <c r="BD43" s="100"/>
      <c r="BE43" s="100">
        <f t="shared" si="65"/>
        <v>3.8695972231552278</v>
      </c>
      <c r="BF43" s="100"/>
      <c r="BG43" s="100">
        <f t="shared" ref="BG43:BG46" si="83">BG28*BG28*BH28</f>
        <v>1.6667985533553364</v>
      </c>
      <c r="BI43" s="100"/>
      <c r="BJ43" s="100">
        <f t="shared" si="67"/>
        <v>4.8646691209788466</v>
      </c>
      <c r="BK43" s="100"/>
      <c r="BL43" s="100">
        <f t="shared" ref="BL43:BL46" si="84">BL28*BL28*BM28</f>
        <v>6.9405182015420444</v>
      </c>
      <c r="BN43" s="100"/>
      <c r="BO43" s="100">
        <f t="shared" si="69"/>
        <v>1.5197910536310788</v>
      </c>
      <c r="BP43" s="100"/>
      <c r="BQ43" s="100">
        <f t="shared" ref="BQ43:BQ46" si="85">BQ28*BQ28*BR28</f>
        <v>59.317264731322624</v>
      </c>
      <c r="BT43" s="100">
        <f t="shared" si="71"/>
        <v>0.88997607767055043</v>
      </c>
      <c r="BU43" s="100"/>
      <c r="BV43" s="100">
        <f t="shared" ref="BV43:BV46" si="86">BV28*BV28*BW28</f>
        <v>2.1938419602575427</v>
      </c>
    </row>
    <row r="44" spans="1:74">
      <c r="A44">
        <v>10</v>
      </c>
      <c r="G44" s="100">
        <f t="shared" si="46"/>
        <v>9.9911406837751215E-4</v>
      </c>
      <c r="I44" s="100">
        <f t="shared" si="73"/>
        <v>2.6953644263468548E-2</v>
      </c>
      <c r="L44" s="100">
        <f t="shared" si="48"/>
        <v>0.62886713103901681</v>
      </c>
      <c r="N44" s="100">
        <f t="shared" si="74"/>
        <v>4.2862720602219158</v>
      </c>
      <c r="O44" s="101"/>
      <c r="Q44" s="100">
        <f t="shared" si="50"/>
        <v>5.770177860225794</v>
      </c>
      <c r="S44" s="100">
        <f t="shared" si="75"/>
        <v>3.5040164720252349E-2</v>
      </c>
      <c r="T44" s="101"/>
      <c r="V44" s="100">
        <f t="shared" si="52"/>
        <v>0.41263709501122287</v>
      </c>
      <c r="W44" s="100"/>
      <c r="X44" s="100">
        <f t="shared" si="76"/>
        <v>2.8588009743435346E-2</v>
      </c>
      <c r="AA44" s="100">
        <f t="shared" si="54"/>
        <v>0.35916268090249914</v>
      </c>
      <c r="AB44" s="100"/>
      <c r="AC44" s="100">
        <f t="shared" si="77"/>
        <v>13.374896264313449</v>
      </c>
      <c r="AE44" s="100"/>
      <c r="AF44" s="100">
        <f t="shared" si="56"/>
        <v>22.484819234798177</v>
      </c>
      <c r="AG44" s="100"/>
      <c r="AH44" s="100">
        <f t="shared" si="78"/>
        <v>2.9809571348242425</v>
      </c>
      <c r="AJ44" s="100"/>
      <c r="AK44" s="100">
        <f t="shared" si="58"/>
        <v>3.0668260894750343</v>
      </c>
      <c r="AL44" s="100"/>
      <c r="AM44" s="100">
        <f t="shared" si="79"/>
        <v>5.0227544896452384E-2</v>
      </c>
      <c r="AO44" s="100"/>
      <c r="AP44" s="100">
        <f t="shared" si="60"/>
        <v>0.75077027008986386</v>
      </c>
      <c r="AQ44" s="100"/>
      <c r="AR44" s="100">
        <f t="shared" si="80"/>
        <v>8.8505772928292483</v>
      </c>
      <c r="AT44" s="100"/>
      <c r="AU44" s="100">
        <f t="shared" si="61"/>
        <v>1.3070354419440447E-2</v>
      </c>
      <c r="AV44" s="100"/>
      <c r="AW44" s="100">
        <f t="shared" si="81"/>
        <v>1.3580509810546961</v>
      </c>
      <c r="AY44" s="100"/>
      <c r="AZ44" s="100">
        <f t="shared" si="63"/>
        <v>4.350381539274939</v>
      </c>
      <c r="BA44" s="100"/>
      <c r="BB44" s="100">
        <f t="shared" si="82"/>
        <v>0.33742791256868138</v>
      </c>
      <c r="BD44" s="100"/>
      <c r="BE44" s="100">
        <f t="shared" si="65"/>
        <v>0.94992497914041929</v>
      </c>
      <c r="BF44" s="100"/>
      <c r="BG44" s="100">
        <f t="shared" si="83"/>
        <v>11.198344933484336</v>
      </c>
      <c r="BI44" s="100"/>
      <c r="BJ44" s="100">
        <f t="shared" si="67"/>
        <v>7.2622245466636812</v>
      </c>
      <c r="BK44" s="100"/>
      <c r="BL44" s="100">
        <f t="shared" si="84"/>
        <v>3.413993738384574</v>
      </c>
      <c r="BN44" s="100"/>
      <c r="BO44" s="100">
        <f t="shared" si="69"/>
        <v>1.0115339898539004</v>
      </c>
      <c r="BP44" s="100"/>
      <c r="BQ44" s="100">
        <f t="shared" si="85"/>
        <v>37.35937545878928</v>
      </c>
      <c r="BT44" s="100">
        <f t="shared" si="71"/>
        <v>1.484627625296328</v>
      </c>
      <c r="BU44" s="100"/>
      <c r="BV44" s="100">
        <f t="shared" si="86"/>
        <v>0.79297371568950592</v>
      </c>
    </row>
    <row r="45" spans="1:74">
      <c r="A45">
        <v>11</v>
      </c>
      <c r="G45" s="100">
        <f t="shared" si="46"/>
        <v>0.67458053862550649</v>
      </c>
      <c r="I45" s="100">
        <f t="shared" si="73"/>
        <v>24.835041049750895</v>
      </c>
      <c r="L45" s="100">
        <f t="shared" si="48"/>
        <v>1.7429363076513753</v>
      </c>
      <c r="N45" s="100">
        <f t="shared" si="74"/>
        <v>3.4689912859758625</v>
      </c>
      <c r="O45" s="101"/>
      <c r="Q45" s="100">
        <f t="shared" si="50"/>
        <v>5.9811294402940431</v>
      </c>
      <c r="S45" s="100">
        <f t="shared" si="75"/>
        <v>4.3499421877847446</v>
      </c>
      <c r="T45" s="101"/>
      <c r="V45" s="100">
        <f t="shared" si="52"/>
        <v>1.8509497882052177</v>
      </c>
      <c r="W45" s="100"/>
      <c r="X45" s="100">
        <f t="shared" si="76"/>
        <v>0.69126142088313036</v>
      </c>
      <c r="AA45" s="100">
        <f t="shared" si="54"/>
        <v>4.6455703090111644</v>
      </c>
      <c r="AB45" s="100"/>
      <c r="AC45" s="100">
        <f t="shared" si="77"/>
        <v>6.5556583322523974</v>
      </c>
      <c r="AE45" s="100"/>
      <c r="AF45" s="100">
        <f t="shared" si="56"/>
        <v>13.671822720165647</v>
      </c>
      <c r="AG45" s="100"/>
      <c r="AH45" s="100">
        <f t="shared" si="78"/>
        <v>22.21879678412531</v>
      </c>
      <c r="AJ45" s="100"/>
      <c r="AK45" s="100">
        <f t="shared" si="58"/>
        <v>6.1413165717752394</v>
      </c>
      <c r="AL45" s="100"/>
      <c r="AM45" s="100">
        <f t="shared" si="79"/>
        <v>1.7609066641944611</v>
      </c>
      <c r="AO45" s="100"/>
      <c r="AP45" s="100">
        <f t="shared" si="60"/>
        <v>3.3677003090956044</v>
      </c>
      <c r="AQ45" s="100"/>
      <c r="AR45" s="100">
        <f t="shared" si="80"/>
        <v>0.18900416936897471</v>
      </c>
      <c r="AT45" s="100"/>
      <c r="AU45" s="100">
        <f t="shared" si="61"/>
        <v>0.53356768468922666</v>
      </c>
      <c r="AV45" s="100"/>
      <c r="AW45" s="100">
        <f t="shared" si="81"/>
        <v>0.73777117155973471</v>
      </c>
      <c r="AY45" s="100"/>
      <c r="AZ45" s="100">
        <f t="shared" si="63"/>
        <v>0.94129393431023944</v>
      </c>
      <c r="BA45" s="100"/>
      <c r="BB45" s="100">
        <f t="shared" si="82"/>
        <v>0.97308029707768939</v>
      </c>
      <c r="BD45" s="100"/>
      <c r="BE45" s="100">
        <f t="shared" si="65"/>
        <v>3.2643129151775758</v>
      </c>
      <c r="BF45" s="100"/>
      <c r="BG45" s="100">
        <f t="shared" si="83"/>
        <v>0.23914077154891267</v>
      </c>
      <c r="BI45" s="100"/>
      <c r="BJ45" s="100">
        <f t="shared" si="67"/>
        <v>30.644508494258382</v>
      </c>
      <c r="BK45" s="100"/>
      <c r="BL45" s="100">
        <f t="shared" si="84"/>
        <v>1.6705484338008985</v>
      </c>
      <c r="BN45" s="100"/>
      <c r="BO45" s="100">
        <f t="shared" si="69"/>
        <v>0.62830324573826857</v>
      </c>
      <c r="BP45" s="100"/>
      <c r="BQ45" s="100">
        <f t="shared" si="85"/>
        <v>22.618916846577481</v>
      </c>
      <c r="BT45" s="100">
        <f t="shared" si="71"/>
        <v>4.938917895626342</v>
      </c>
      <c r="BU45" s="100"/>
      <c r="BV45" s="100">
        <f t="shared" si="86"/>
        <v>1.443706151558005</v>
      </c>
    </row>
    <row r="46" spans="1:74">
      <c r="A46">
        <v>12</v>
      </c>
      <c r="G46" s="100">
        <f t="shared" si="46"/>
        <v>3.1567995606516868</v>
      </c>
      <c r="I46" s="100">
        <f t="shared" si="73"/>
        <v>28.68536953983693</v>
      </c>
      <c r="L46" s="100">
        <f t="shared" si="48"/>
        <v>0.17867054193467466</v>
      </c>
      <c r="N46" s="100">
        <f t="shared" si="74"/>
        <v>23.466205805092574</v>
      </c>
      <c r="O46" s="101"/>
      <c r="Q46" s="100">
        <f t="shared" si="50"/>
        <v>1.3774043361218935</v>
      </c>
      <c r="S46" s="100">
        <f t="shared" si="75"/>
        <v>13.085483814266409</v>
      </c>
      <c r="T46" s="101"/>
      <c r="V46" s="100">
        <f t="shared" si="52"/>
        <v>0.79277075311723666</v>
      </c>
      <c r="W46" s="100"/>
      <c r="X46" s="100">
        <f t="shared" si="76"/>
        <v>0.52103380396469523</v>
      </c>
      <c r="AA46" s="100">
        <f t="shared" si="54"/>
        <v>4.8611627174248193</v>
      </c>
      <c r="AB46" s="100"/>
      <c r="AC46" s="100">
        <f t="shared" si="77"/>
        <v>4.3983203549508421</v>
      </c>
      <c r="AE46" s="100"/>
      <c r="AF46" s="100">
        <f t="shared" si="56"/>
        <v>19.194667743194501</v>
      </c>
      <c r="AG46" s="100"/>
      <c r="AH46" s="100">
        <f t="shared" si="78"/>
        <v>16.088145704835874</v>
      </c>
      <c r="AJ46" s="100"/>
      <c r="AK46" s="100">
        <f t="shared" si="58"/>
        <v>7.5889422822122929</v>
      </c>
      <c r="AL46" s="100"/>
      <c r="AM46" s="100">
        <f t="shared" si="79"/>
        <v>0.71027100359202855</v>
      </c>
      <c r="AO46" s="100"/>
      <c r="AP46" s="100">
        <f t="shared" si="60"/>
        <v>3.5635319053674714</v>
      </c>
      <c r="AQ46" s="100"/>
      <c r="AR46" s="100">
        <f t="shared" si="80"/>
        <v>0.15985118577187638</v>
      </c>
      <c r="AT46" s="100"/>
      <c r="AU46" s="100">
        <f t="shared" si="61"/>
        <v>1.2891559489852261E-3</v>
      </c>
      <c r="AV46" s="100"/>
      <c r="AW46" s="100">
        <f t="shared" si="81"/>
        <v>6.3108154420031006</v>
      </c>
      <c r="AY46" s="100"/>
      <c r="AZ46" s="100">
        <f t="shared" si="63"/>
        <v>1.9639915657133202</v>
      </c>
      <c r="BA46" s="100"/>
      <c r="BB46" s="100">
        <f t="shared" si="82"/>
        <v>3.9319483156389805</v>
      </c>
      <c r="BD46" s="100"/>
      <c r="BE46" s="100">
        <f t="shared" si="65"/>
        <v>6.9610170230078943</v>
      </c>
      <c r="BF46" s="100"/>
      <c r="BG46" s="100">
        <f t="shared" si="83"/>
        <v>0.50015299535401736</v>
      </c>
      <c r="BI46" s="100"/>
      <c r="BJ46" s="100">
        <f t="shared" si="67"/>
        <v>11.320393465141882</v>
      </c>
      <c r="BK46" s="100"/>
      <c r="BL46" s="100">
        <f t="shared" si="84"/>
        <v>27.138990610547761</v>
      </c>
      <c r="BN46" s="100"/>
      <c r="BO46" s="100">
        <f t="shared" si="69"/>
        <v>0.53523536269874405</v>
      </c>
      <c r="BP46" s="100"/>
      <c r="BQ46" s="100">
        <f t="shared" si="85"/>
        <v>15.352822353480786</v>
      </c>
      <c r="BT46" s="100">
        <f t="shared" si="71"/>
        <v>3.5782852907057672</v>
      </c>
      <c r="BU46" s="100"/>
      <c r="BV46" s="100">
        <f t="shared" si="86"/>
        <v>2.3129107739052825</v>
      </c>
    </row>
  </sheetData>
  <mergeCells count="7">
    <mergeCell ref="C18:E18"/>
    <mergeCell ref="G18:I18"/>
    <mergeCell ref="L18:N18"/>
    <mergeCell ref="Q18:S18"/>
    <mergeCell ref="G33:I33"/>
    <mergeCell ref="L33:N33"/>
    <mergeCell ref="Q33:S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F322F-F88E-40A7-877B-0103220DCC6E}">
  <dimension ref="A1:BV16"/>
  <sheetViews>
    <sheetView zoomScale="90" zoomScaleNormal="90" workbookViewId="0">
      <pane xSplit="2" topLeftCell="C1" activePane="topRight" state="frozen"/>
      <selection pane="topRight" activeCell="BV21" sqref="BV21"/>
    </sheetView>
  </sheetViews>
  <sheetFormatPr defaultRowHeight="15"/>
  <cols>
    <col min="2" max="2" width="51.5703125" customWidth="1"/>
    <col min="4" max="4" width="11.7109375" bestFit="1" customWidth="1"/>
    <col min="69" max="69" width="11.42578125" bestFit="1" customWidth="1"/>
  </cols>
  <sheetData>
    <row r="1" spans="1:74">
      <c r="A1" s="1"/>
      <c r="B1" s="1"/>
      <c r="C1" s="2">
        <f>[1]Summary!B2</f>
        <v>1</v>
      </c>
      <c r="D1" s="2" t="s">
        <v>24</v>
      </c>
      <c r="E1" s="2"/>
      <c r="F1" s="3" t="s">
        <v>192</v>
      </c>
      <c r="H1" s="4">
        <f>[1]Summary!B4</f>
        <v>3</v>
      </c>
      <c r="I1" s="5" t="s">
        <v>248</v>
      </c>
      <c r="J1" s="5"/>
      <c r="K1" s="6" t="s">
        <v>192</v>
      </c>
      <c r="L1" s="1"/>
      <c r="M1" s="7">
        <f>[1]Summary!B5</f>
        <v>4</v>
      </c>
      <c r="N1" s="8" t="s">
        <v>249</v>
      </c>
      <c r="O1" s="8"/>
      <c r="P1" s="9" t="s">
        <v>192</v>
      </c>
      <c r="Q1" s="1"/>
      <c r="R1" s="10">
        <f>[1]Summary!B6</f>
        <v>5</v>
      </c>
      <c r="S1" s="11" t="s">
        <v>250</v>
      </c>
      <c r="T1" s="11"/>
      <c r="U1" s="12" t="s">
        <v>192</v>
      </c>
      <c r="V1" s="1"/>
      <c r="W1" s="13">
        <f>[1]Summary!B7</f>
        <v>6</v>
      </c>
      <c r="X1" s="14" t="s">
        <v>251</v>
      </c>
      <c r="Y1" s="14"/>
      <c r="Z1" s="15" t="s">
        <v>192</v>
      </c>
      <c r="AA1" s="1"/>
      <c r="AB1" s="16">
        <f>[1]Summary!B8</f>
        <v>7</v>
      </c>
      <c r="AC1" s="17" t="s">
        <v>252</v>
      </c>
      <c r="AD1" s="17"/>
      <c r="AE1" s="17" t="s">
        <v>192</v>
      </c>
      <c r="AF1" s="1"/>
      <c r="AG1" s="18">
        <f>[1]Summary!B12</f>
        <v>11</v>
      </c>
      <c r="AH1" s="19" t="s">
        <v>253</v>
      </c>
      <c r="AI1" s="19"/>
      <c r="AJ1" s="20" t="s">
        <v>192</v>
      </c>
      <c r="AK1" s="1"/>
      <c r="AL1" s="21">
        <f>[1]Summary!B13</f>
        <v>12</v>
      </c>
      <c r="AM1" s="22" t="s">
        <v>254</v>
      </c>
      <c r="AN1" s="22"/>
      <c r="AO1" s="23" t="s">
        <v>192</v>
      </c>
      <c r="AP1" s="1"/>
      <c r="AQ1" s="24">
        <f>[1]Summary!B16</f>
        <v>15</v>
      </c>
      <c r="AR1" s="25" t="s">
        <v>255</v>
      </c>
      <c r="AS1" s="25"/>
      <c r="AT1" s="25" t="s">
        <v>192</v>
      </c>
      <c r="AU1" s="1"/>
      <c r="AV1" s="26">
        <f>[1]Summary!B11</f>
        <v>10</v>
      </c>
      <c r="AW1" s="27" t="s">
        <v>256</v>
      </c>
      <c r="AX1" s="27"/>
      <c r="AY1" s="27" t="s">
        <v>192</v>
      </c>
      <c r="AZ1" s="1"/>
      <c r="BA1" s="28">
        <f>[1]Summary!B19</f>
        <v>18</v>
      </c>
      <c r="BB1" s="29" t="s">
        <v>257</v>
      </c>
      <c r="BC1" s="29"/>
      <c r="BD1" s="29" t="s">
        <v>192</v>
      </c>
      <c r="BE1" s="1"/>
      <c r="BF1" s="30">
        <f>[1]Summary!B17</f>
        <v>16</v>
      </c>
      <c r="BG1" s="31" t="s">
        <v>258</v>
      </c>
      <c r="BH1" s="31"/>
      <c r="BI1" s="32" t="s">
        <v>192</v>
      </c>
      <c r="BJ1" s="1"/>
      <c r="BK1" s="33">
        <f>[1]Summary!B20</f>
        <v>19</v>
      </c>
      <c r="BL1" s="34" t="s">
        <v>259</v>
      </c>
      <c r="BM1" s="34"/>
      <c r="BN1" s="35" t="s">
        <v>192</v>
      </c>
      <c r="BP1" s="36">
        <f>[1]Summary!B21</f>
        <v>20</v>
      </c>
      <c r="BQ1" s="15" t="s">
        <v>260</v>
      </c>
      <c r="BR1" s="37"/>
      <c r="BS1" s="37" t="s">
        <v>192</v>
      </c>
      <c r="BV1">
        <f>COUNT(C1,H1,M1,R1,W1,AB1,AG1,AL1,AQ1,AV1,BA1,BF1,BK1,BP1)</f>
        <v>14</v>
      </c>
    </row>
    <row r="2" spans="1:74">
      <c r="A2" s="1"/>
      <c r="B2" s="1" t="s">
        <v>221</v>
      </c>
      <c r="C2" s="2" t="s">
        <v>218</v>
      </c>
      <c r="D2" s="2" t="s">
        <v>219</v>
      </c>
      <c r="E2" s="2" t="s">
        <v>220</v>
      </c>
      <c r="F2" s="3"/>
      <c r="H2" s="5" t="s">
        <v>222</v>
      </c>
      <c r="I2" s="5" t="s">
        <v>219</v>
      </c>
      <c r="J2" s="5" t="s">
        <v>220</v>
      </c>
      <c r="K2" s="5"/>
      <c r="L2" s="1"/>
      <c r="M2" s="8" t="s">
        <v>222</v>
      </c>
      <c r="N2" s="8" t="s">
        <v>219</v>
      </c>
      <c r="O2" s="8" t="s">
        <v>220</v>
      </c>
      <c r="P2" s="8"/>
      <c r="Q2" s="1"/>
      <c r="R2" s="11" t="s">
        <v>218</v>
      </c>
      <c r="S2" s="11" t="s">
        <v>219</v>
      </c>
      <c r="T2" s="11" t="s">
        <v>220</v>
      </c>
      <c r="U2" s="12"/>
      <c r="V2" s="1"/>
      <c r="W2" s="14" t="s">
        <v>218</v>
      </c>
      <c r="X2" s="14" t="s">
        <v>219</v>
      </c>
      <c r="Y2" s="14" t="s">
        <v>220</v>
      </c>
      <c r="Z2" s="15"/>
      <c r="AA2" s="1"/>
      <c r="AB2" s="17" t="s">
        <v>218</v>
      </c>
      <c r="AC2" s="17" t="s">
        <v>219</v>
      </c>
      <c r="AD2" s="17" t="s">
        <v>220</v>
      </c>
      <c r="AE2" s="38"/>
      <c r="AF2" s="1"/>
      <c r="AG2" s="19" t="s">
        <v>218</v>
      </c>
      <c r="AH2" s="19" t="s">
        <v>219</v>
      </c>
      <c r="AI2" s="19" t="s">
        <v>220</v>
      </c>
      <c r="AJ2" s="19"/>
      <c r="AK2" s="1"/>
      <c r="AL2" s="22" t="s">
        <v>218</v>
      </c>
      <c r="AM2" s="22" t="s">
        <v>219</v>
      </c>
      <c r="AN2" s="22" t="s">
        <v>220</v>
      </c>
      <c r="AO2" s="23"/>
      <c r="AP2" s="1"/>
      <c r="AQ2" s="25" t="s">
        <v>218</v>
      </c>
      <c r="AR2" s="25" t="s">
        <v>219</v>
      </c>
      <c r="AS2" s="25" t="s">
        <v>220</v>
      </c>
      <c r="AT2" s="39"/>
      <c r="AU2" s="1"/>
      <c r="AV2" s="27" t="s">
        <v>218</v>
      </c>
      <c r="AW2" s="27" t="s">
        <v>219</v>
      </c>
      <c r="AX2" s="27" t="s">
        <v>220</v>
      </c>
      <c r="AY2" s="40"/>
      <c r="AZ2" s="1"/>
      <c r="BA2" s="29" t="s">
        <v>218</v>
      </c>
      <c r="BB2" s="29" t="s">
        <v>261</v>
      </c>
      <c r="BC2" s="29" t="s">
        <v>220</v>
      </c>
      <c r="BD2" s="41"/>
      <c r="BE2" s="1"/>
      <c r="BF2" s="31" t="s">
        <v>218</v>
      </c>
      <c r="BG2" s="31" t="s">
        <v>219</v>
      </c>
      <c r="BH2" s="31" t="s">
        <v>220</v>
      </c>
      <c r="BI2" s="32"/>
      <c r="BJ2" s="1"/>
      <c r="BK2" s="34" t="s">
        <v>218</v>
      </c>
      <c r="BL2" s="34" t="s">
        <v>219</v>
      </c>
      <c r="BM2" s="34" t="s">
        <v>220</v>
      </c>
      <c r="BN2" s="35"/>
      <c r="BP2" s="14" t="s">
        <v>218</v>
      </c>
      <c r="BQ2" s="14" t="s">
        <v>219</v>
      </c>
      <c r="BR2" s="14" t="s">
        <v>220</v>
      </c>
      <c r="BS2" s="37"/>
    </row>
    <row r="3" spans="1:74">
      <c r="A3" s="1"/>
      <c r="B3" s="1" t="s">
        <v>219</v>
      </c>
      <c r="C3" s="42" t="s">
        <v>265</v>
      </c>
      <c r="D3" s="42" t="s">
        <v>265</v>
      </c>
      <c r="E3" s="42" t="s">
        <v>265</v>
      </c>
      <c r="F3" s="43" t="s">
        <v>265</v>
      </c>
      <c r="H3" s="43" t="s">
        <v>265</v>
      </c>
      <c r="I3" s="43" t="s">
        <v>265</v>
      </c>
      <c r="J3" s="43" t="s">
        <v>265</v>
      </c>
      <c r="K3" s="43" t="s">
        <v>265</v>
      </c>
      <c r="L3" s="43" t="s">
        <v>265</v>
      </c>
      <c r="M3" s="43" t="s">
        <v>265</v>
      </c>
      <c r="N3" s="43" t="s">
        <v>265</v>
      </c>
      <c r="O3" s="43" t="s">
        <v>265</v>
      </c>
      <c r="P3" s="43" t="s">
        <v>265</v>
      </c>
      <c r="Q3" s="43" t="s">
        <v>265</v>
      </c>
      <c r="R3" s="44" t="s">
        <v>265</v>
      </c>
      <c r="S3" s="44" t="s">
        <v>265</v>
      </c>
      <c r="T3" s="44" t="s">
        <v>265</v>
      </c>
      <c r="U3" s="44" t="s">
        <v>265</v>
      </c>
      <c r="V3" s="43" t="s">
        <v>265</v>
      </c>
      <c r="W3" s="45" t="s">
        <v>265</v>
      </c>
      <c r="X3" s="45" t="s">
        <v>265</v>
      </c>
      <c r="Y3" s="45" t="s">
        <v>265</v>
      </c>
      <c r="Z3" s="45" t="s">
        <v>265</v>
      </c>
      <c r="AA3" s="43" t="s">
        <v>265</v>
      </c>
      <c r="AB3" s="46" t="s">
        <v>265</v>
      </c>
      <c r="AC3" s="46" t="s">
        <v>265</v>
      </c>
      <c r="AD3" s="46" t="s">
        <v>265</v>
      </c>
      <c r="AE3" s="46" t="s">
        <v>265</v>
      </c>
      <c r="AF3" s="43" t="s">
        <v>265</v>
      </c>
      <c r="AG3" s="47" t="s">
        <v>265</v>
      </c>
      <c r="AH3" s="47" t="s">
        <v>265</v>
      </c>
      <c r="AI3" s="47" t="s">
        <v>265</v>
      </c>
      <c r="AJ3" s="47" t="s">
        <v>265</v>
      </c>
      <c r="AK3" s="43" t="s">
        <v>265</v>
      </c>
      <c r="AL3" s="48" t="s">
        <v>265</v>
      </c>
      <c r="AM3" s="48" t="s">
        <v>265</v>
      </c>
      <c r="AN3" s="48" t="s">
        <v>265</v>
      </c>
      <c r="AO3" s="48" t="s">
        <v>265</v>
      </c>
      <c r="AP3" s="43" t="s">
        <v>265</v>
      </c>
      <c r="AQ3" s="49" t="s">
        <v>265</v>
      </c>
      <c r="AR3" s="49" t="s">
        <v>265</v>
      </c>
      <c r="AS3" s="49" t="s">
        <v>265</v>
      </c>
      <c r="AT3" s="49" t="s">
        <v>265</v>
      </c>
      <c r="AU3" s="43" t="s">
        <v>265</v>
      </c>
      <c r="AV3" s="50" t="s">
        <v>265</v>
      </c>
      <c r="AW3" s="50" t="s">
        <v>265</v>
      </c>
      <c r="AX3" s="50" t="s">
        <v>265</v>
      </c>
      <c r="AY3" s="50" t="s">
        <v>265</v>
      </c>
      <c r="AZ3" s="43" t="s">
        <v>265</v>
      </c>
      <c r="BA3" s="51" t="s">
        <v>265</v>
      </c>
      <c r="BB3" s="51" t="s">
        <v>265</v>
      </c>
      <c r="BC3" s="51" t="s">
        <v>265</v>
      </c>
      <c r="BD3" s="51" t="s">
        <v>265</v>
      </c>
      <c r="BE3" s="43" t="s">
        <v>265</v>
      </c>
      <c r="BF3" s="52" t="s">
        <v>265</v>
      </c>
      <c r="BG3" s="52" t="s">
        <v>265</v>
      </c>
      <c r="BH3" s="52" t="s">
        <v>265</v>
      </c>
      <c r="BI3" s="52" t="s">
        <v>265</v>
      </c>
      <c r="BJ3" s="43" t="s">
        <v>265</v>
      </c>
      <c r="BK3" s="53" t="s">
        <v>265</v>
      </c>
      <c r="BL3" s="53" t="s">
        <v>265</v>
      </c>
      <c r="BM3" s="53" t="s">
        <v>265</v>
      </c>
      <c r="BN3" s="53" t="s">
        <v>265</v>
      </c>
      <c r="BP3" s="45" t="s">
        <v>171</v>
      </c>
      <c r="BQ3" s="45" t="s">
        <v>171</v>
      </c>
      <c r="BR3" s="45" t="s">
        <v>171</v>
      </c>
      <c r="BS3" s="45" t="s">
        <v>171</v>
      </c>
    </row>
    <row r="4" spans="1:74">
      <c r="A4">
        <v>1</v>
      </c>
      <c r="B4" t="s">
        <v>232</v>
      </c>
      <c r="C4" s="54">
        <v>0.746</v>
      </c>
      <c r="D4" s="55">
        <v>-0.182</v>
      </c>
      <c r="E4" s="56"/>
      <c r="F4" s="54">
        <v>758</v>
      </c>
      <c r="H4" s="57">
        <v>0.64</v>
      </c>
      <c r="I4" s="57">
        <v>-0.22</v>
      </c>
      <c r="J4" s="56"/>
      <c r="K4" s="58">
        <v>354</v>
      </c>
      <c r="L4" s="59"/>
      <c r="M4" s="60">
        <v>0.9</v>
      </c>
      <c r="N4" s="60">
        <v>-0.18</v>
      </c>
      <c r="O4" s="56"/>
      <c r="P4" s="61">
        <v>353</v>
      </c>
      <c r="Q4" s="59"/>
      <c r="R4" s="62">
        <v>0.78</v>
      </c>
      <c r="S4" s="62">
        <v>0.19</v>
      </c>
      <c r="T4" s="59"/>
      <c r="U4" s="63">
        <v>288</v>
      </c>
      <c r="V4" s="59"/>
      <c r="W4" s="64">
        <v>0.77</v>
      </c>
      <c r="X4" s="64">
        <v>-0.08</v>
      </c>
      <c r="Y4" s="56"/>
      <c r="Z4" s="65">
        <v>463</v>
      </c>
      <c r="AA4" s="59"/>
      <c r="AB4" s="66">
        <v>0.8</v>
      </c>
      <c r="AC4" s="66">
        <v>-0.51</v>
      </c>
      <c r="AD4" s="56"/>
      <c r="AE4" s="66">
        <v>609</v>
      </c>
      <c r="AF4" s="59"/>
      <c r="AG4" s="67">
        <v>0.72</v>
      </c>
      <c r="AH4" s="67">
        <v>0.17</v>
      </c>
      <c r="AI4" s="56"/>
      <c r="AJ4" s="68">
        <v>506</v>
      </c>
      <c r="AK4" s="59"/>
      <c r="AL4" s="69">
        <v>0.78</v>
      </c>
      <c r="AM4" s="70"/>
      <c r="AN4" s="56"/>
      <c r="AO4" s="71">
        <v>524</v>
      </c>
      <c r="AP4" s="59"/>
      <c r="AQ4" s="72">
        <v>0.66</v>
      </c>
      <c r="AR4" s="72">
        <v>0.23</v>
      </c>
      <c r="AS4" s="56"/>
      <c r="AT4" s="72">
        <v>212</v>
      </c>
      <c r="AU4" s="59"/>
      <c r="AV4" s="73">
        <v>0.84</v>
      </c>
      <c r="AW4" s="73">
        <v>8.9999999999999993E-3</v>
      </c>
      <c r="AX4" s="56"/>
      <c r="AY4" s="73">
        <v>374</v>
      </c>
      <c r="AZ4" s="59"/>
      <c r="BA4" s="74">
        <v>0.77</v>
      </c>
      <c r="BB4" s="74">
        <v>-0.17</v>
      </c>
      <c r="BC4" s="56"/>
      <c r="BD4" s="74">
        <v>663</v>
      </c>
      <c r="BE4" s="59"/>
      <c r="BF4" s="75">
        <v>0.67</v>
      </c>
      <c r="BG4" s="75">
        <v>-0.1</v>
      </c>
      <c r="BH4" s="56"/>
      <c r="BI4" s="76">
        <v>696</v>
      </c>
      <c r="BJ4" s="59"/>
      <c r="BK4" s="77">
        <v>0.8</v>
      </c>
      <c r="BL4" s="77">
        <v>4.0000000000000001E-3</v>
      </c>
      <c r="BM4" s="56"/>
      <c r="BN4" s="78">
        <v>706</v>
      </c>
      <c r="BP4" s="79">
        <v>0.52</v>
      </c>
      <c r="BQ4" s="79">
        <v>0.19</v>
      </c>
      <c r="BR4" s="80"/>
      <c r="BS4" s="81">
        <v>220</v>
      </c>
    </row>
    <row r="5" spans="1:74">
      <c r="A5">
        <v>2</v>
      </c>
      <c r="B5" t="s">
        <v>233</v>
      </c>
      <c r="C5" s="55">
        <v>0.67700000000000005</v>
      </c>
      <c r="D5" s="55">
        <v>-0.16600000000000001</v>
      </c>
      <c r="E5" s="56"/>
      <c r="F5" s="54">
        <v>758</v>
      </c>
      <c r="H5" s="57">
        <v>0.66</v>
      </c>
      <c r="I5" s="57">
        <v>0.03</v>
      </c>
      <c r="J5" s="56"/>
      <c r="K5" s="58">
        <v>354</v>
      </c>
      <c r="L5" s="59"/>
      <c r="M5" s="60">
        <v>0.83</v>
      </c>
      <c r="N5" s="60">
        <v>0.08</v>
      </c>
      <c r="O5" s="56"/>
      <c r="P5" s="61">
        <v>353</v>
      </c>
      <c r="Q5" s="59"/>
      <c r="R5" s="62">
        <v>0.72</v>
      </c>
      <c r="S5" s="63">
        <v>0.41</v>
      </c>
      <c r="T5" s="59"/>
      <c r="U5" s="63">
        <v>288</v>
      </c>
      <c r="V5" s="59"/>
      <c r="W5" s="64">
        <v>0.62</v>
      </c>
      <c r="X5" s="64">
        <v>0.2</v>
      </c>
      <c r="Y5" s="56"/>
      <c r="Z5" s="65">
        <v>463</v>
      </c>
      <c r="AA5" s="59"/>
      <c r="AB5" s="66">
        <v>0.68</v>
      </c>
      <c r="AC5" s="66">
        <v>0.01</v>
      </c>
      <c r="AD5" s="56"/>
      <c r="AE5" s="66">
        <v>609</v>
      </c>
      <c r="AF5" s="59"/>
      <c r="AG5" s="67">
        <v>0.56999999999999995</v>
      </c>
      <c r="AH5" s="67">
        <v>0.94</v>
      </c>
      <c r="AI5" s="56"/>
      <c r="AJ5" s="68">
        <v>506</v>
      </c>
      <c r="AK5" s="59"/>
      <c r="AL5" s="69">
        <v>0.73</v>
      </c>
      <c r="AM5" s="70"/>
      <c r="AN5" s="56"/>
      <c r="AO5" s="71">
        <v>524</v>
      </c>
      <c r="AP5" s="59"/>
      <c r="AQ5" s="72">
        <v>0.69</v>
      </c>
      <c r="AR5" s="72">
        <v>0.24</v>
      </c>
      <c r="AS5" s="56"/>
      <c r="AT5" s="72">
        <v>212</v>
      </c>
      <c r="AU5" s="59"/>
      <c r="AV5" s="73">
        <v>0.76</v>
      </c>
      <c r="AW5" s="82">
        <v>0.12</v>
      </c>
      <c r="AX5" s="56"/>
      <c r="AY5" s="73">
        <v>374</v>
      </c>
      <c r="AZ5" s="59"/>
      <c r="BA5" s="74">
        <v>0.75</v>
      </c>
      <c r="BB5" s="74">
        <v>0.02</v>
      </c>
      <c r="BC5" s="56"/>
      <c r="BD5" s="74">
        <v>663</v>
      </c>
      <c r="BE5" s="59"/>
      <c r="BF5" s="75">
        <v>0.6</v>
      </c>
      <c r="BG5" s="75">
        <v>-0.03</v>
      </c>
      <c r="BH5" s="56"/>
      <c r="BI5" s="76">
        <v>696</v>
      </c>
      <c r="BJ5" s="59"/>
      <c r="BK5" s="77">
        <v>0.69</v>
      </c>
      <c r="BL5" s="77">
        <v>0</v>
      </c>
      <c r="BM5" s="56"/>
      <c r="BN5" s="78">
        <v>706</v>
      </c>
      <c r="BP5" s="79">
        <v>0.59</v>
      </c>
      <c r="BQ5" s="79">
        <v>0.06</v>
      </c>
      <c r="BR5" s="80"/>
      <c r="BS5" s="81">
        <v>220</v>
      </c>
    </row>
    <row r="6" spans="1:74">
      <c r="A6">
        <v>3</v>
      </c>
      <c r="B6" t="s">
        <v>234</v>
      </c>
      <c r="C6" s="55">
        <v>0.34499999999999997</v>
      </c>
      <c r="D6" s="54">
        <v>0.38</v>
      </c>
      <c r="E6" s="59"/>
      <c r="F6" s="54">
        <v>758</v>
      </c>
      <c r="H6" s="58">
        <v>0.56999999999999995</v>
      </c>
      <c r="I6" s="58">
        <v>7.0000000000000007E-2</v>
      </c>
      <c r="J6" s="59"/>
      <c r="K6" s="58">
        <v>354</v>
      </c>
      <c r="L6" s="59"/>
      <c r="M6" s="61">
        <v>0.73</v>
      </c>
      <c r="N6" s="61">
        <v>0.31</v>
      </c>
      <c r="O6" s="59"/>
      <c r="P6" s="61">
        <v>353</v>
      </c>
      <c r="Q6" s="59"/>
      <c r="R6" s="63">
        <v>0.56999999999999995</v>
      </c>
      <c r="S6" s="63">
        <v>0.32</v>
      </c>
      <c r="T6" s="59"/>
      <c r="U6" s="63">
        <v>288</v>
      </c>
      <c r="V6" s="59"/>
      <c r="W6" s="65">
        <v>0.6</v>
      </c>
      <c r="X6" s="65">
        <v>0.45</v>
      </c>
      <c r="Y6" s="59"/>
      <c r="Z6" s="65">
        <v>463</v>
      </c>
      <c r="AA6" s="59"/>
      <c r="AB6" s="83">
        <v>0.49</v>
      </c>
      <c r="AC6" s="83">
        <v>0.13</v>
      </c>
      <c r="AD6" s="59"/>
      <c r="AE6" s="66">
        <v>609</v>
      </c>
      <c r="AF6" s="59"/>
      <c r="AG6" s="68">
        <v>0.7</v>
      </c>
      <c r="AH6" s="68">
        <v>7.0000000000000007E-2</v>
      </c>
      <c r="AI6" s="59"/>
      <c r="AJ6" s="68">
        <v>506</v>
      </c>
      <c r="AK6" s="59"/>
      <c r="AL6" s="71">
        <v>0.76</v>
      </c>
      <c r="AM6" s="70"/>
      <c r="AN6" s="59"/>
      <c r="AO6" s="71">
        <v>524</v>
      </c>
      <c r="AP6" s="59"/>
      <c r="AQ6" s="84">
        <v>0.67</v>
      </c>
      <c r="AR6" s="84">
        <v>0.23</v>
      </c>
      <c r="AS6" s="59"/>
      <c r="AT6" s="72">
        <v>212</v>
      </c>
      <c r="AU6" s="59"/>
      <c r="AV6" s="82">
        <v>0.64</v>
      </c>
      <c r="AW6" s="82">
        <v>0.67</v>
      </c>
      <c r="AX6" s="59"/>
      <c r="AY6" s="73">
        <v>374</v>
      </c>
      <c r="AZ6" s="59"/>
      <c r="BA6" s="85">
        <v>0.73</v>
      </c>
      <c r="BB6" s="85">
        <v>0.05</v>
      </c>
      <c r="BC6" s="59"/>
      <c r="BD6" s="74">
        <v>663</v>
      </c>
      <c r="BE6" s="59"/>
      <c r="BF6" s="76">
        <v>0.12</v>
      </c>
      <c r="BG6" s="76">
        <v>0.48</v>
      </c>
      <c r="BH6" s="59"/>
      <c r="BI6" s="76">
        <v>696</v>
      </c>
      <c r="BJ6" s="59"/>
      <c r="BK6" s="78">
        <v>0.16</v>
      </c>
      <c r="BL6" s="78">
        <v>0.28000000000000003</v>
      </c>
      <c r="BM6" s="59"/>
      <c r="BN6" s="78">
        <v>706</v>
      </c>
      <c r="BP6" s="65">
        <v>0.41</v>
      </c>
      <c r="BQ6" s="65">
        <v>0.12</v>
      </c>
      <c r="BR6" s="80"/>
      <c r="BS6" s="81">
        <v>220</v>
      </c>
    </row>
    <row r="7" spans="1:74">
      <c r="A7">
        <v>4</v>
      </c>
      <c r="B7" s="86" t="s">
        <v>235</v>
      </c>
      <c r="C7" s="54">
        <v>0.46600000000000003</v>
      </c>
      <c r="D7" s="54">
        <v>0.14699999999999999</v>
      </c>
      <c r="E7" s="59"/>
      <c r="F7" s="54">
        <v>758</v>
      </c>
      <c r="H7" s="58">
        <v>0.49</v>
      </c>
      <c r="I7" s="58">
        <v>0.1</v>
      </c>
      <c r="J7" s="59"/>
      <c r="K7" s="58">
        <v>354</v>
      </c>
      <c r="L7" s="59"/>
      <c r="M7" s="61">
        <v>0.83</v>
      </c>
      <c r="N7" s="61">
        <v>0.06</v>
      </c>
      <c r="O7" s="59"/>
      <c r="P7" s="61">
        <v>353</v>
      </c>
      <c r="Q7" s="59"/>
      <c r="R7" s="63">
        <v>0.78</v>
      </c>
      <c r="S7" s="63">
        <v>0.06</v>
      </c>
      <c r="T7" s="59"/>
      <c r="U7" s="63">
        <v>288</v>
      </c>
      <c r="V7" s="59"/>
      <c r="W7" s="65">
        <v>0.81</v>
      </c>
      <c r="X7" s="65">
        <v>0.01</v>
      </c>
      <c r="Y7" s="59"/>
      <c r="Z7" s="65">
        <v>463</v>
      </c>
      <c r="AA7" s="59"/>
      <c r="AB7" s="83">
        <v>0.36</v>
      </c>
      <c r="AC7" s="83">
        <v>0.03</v>
      </c>
      <c r="AD7" s="59"/>
      <c r="AE7" s="66">
        <v>609</v>
      </c>
      <c r="AF7" s="59"/>
      <c r="AG7" s="68">
        <v>0.82</v>
      </c>
      <c r="AH7" s="68">
        <v>-0.03</v>
      </c>
      <c r="AI7" s="59"/>
      <c r="AJ7" s="68">
        <v>506</v>
      </c>
      <c r="AK7" s="59"/>
      <c r="AL7" s="71">
        <v>0.77</v>
      </c>
      <c r="AM7" s="70"/>
      <c r="AN7" s="59"/>
      <c r="AO7" s="71">
        <v>524</v>
      </c>
      <c r="AP7" s="59"/>
      <c r="AQ7" s="84">
        <v>0.7</v>
      </c>
      <c r="AR7" s="84">
        <v>0.24</v>
      </c>
      <c r="AS7" s="59"/>
      <c r="AT7" s="72">
        <v>212</v>
      </c>
      <c r="AU7" s="59"/>
      <c r="AV7" s="82">
        <v>0.69</v>
      </c>
      <c r="AW7" s="82">
        <v>0.28000000000000003</v>
      </c>
      <c r="AX7" s="59"/>
      <c r="AY7" s="73">
        <v>374</v>
      </c>
      <c r="AZ7" s="59"/>
      <c r="BA7" s="85">
        <v>0.78</v>
      </c>
      <c r="BB7" s="85">
        <v>-0.12</v>
      </c>
      <c r="BC7" s="59"/>
      <c r="BD7" s="74">
        <v>663</v>
      </c>
      <c r="BE7" s="59"/>
      <c r="BF7" s="76">
        <v>0.44</v>
      </c>
      <c r="BG7" s="76">
        <v>0.18</v>
      </c>
      <c r="BH7" s="59"/>
      <c r="BI7" s="76">
        <v>696</v>
      </c>
      <c r="BJ7" s="59"/>
      <c r="BK7" s="78">
        <v>0.5</v>
      </c>
      <c r="BL7" s="78">
        <v>0.09</v>
      </c>
      <c r="BM7" s="59"/>
      <c r="BN7" s="78">
        <v>706</v>
      </c>
      <c r="BP7" s="65">
        <v>0.57999999999999996</v>
      </c>
      <c r="BQ7" s="65">
        <v>0.01</v>
      </c>
      <c r="BR7" s="80"/>
      <c r="BS7" s="81">
        <v>220</v>
      </c>
    </row>
    <row r="8" spans="1:74">
      <c r="A8">
        <v>5</v>
      </c>
      <c r="B8" t="s">
        <v>236</v>
      </c>
      <c r="C8" s="54">
        <v>0.61199999999999999</v>
      </c>
      <c r="D8" s="54">
        <v>0.36199999999999999</v>
      </c>
      <c r="E8" s="59"/>
      <c r="F8" s="54">
        <v>758</v>
      </c>
      <c r="H8" s="58">
        <v>0.72</v>
      </c>
      <c r="I8" s="58">
        <v>0.2</v>
      </c>
      <c r="J8" s="59"/>
      <c r="K8" s="58">
        <v>354</v>
      </c>
      <c r="L8" s="59"/>
      <c r="M8" s="61">
        <v>0.7</v>
      </c>
      <c r="N8" s="61">
        <v>0.34</v>
      </c>
      <c r="O8" s="59"/>
      <c r="P8" s="61">
        <v>353</v>
      </c>
      <c r="Q8" s="59"/>
      <c r="R8" s="63">
        <v>0.76</v>
      </c>
      <c r="S8" s="63">
        <v>0.27</v>
      </c>
      <c r="T8" s="59"/>
      <c r="U8" s="63">
        <v>288</v>
      </c>
      <c r="V8" s="59"/>
      <c r="W8" s="65">
        <v>0.7</v>
      </c>
      <c r="X8" s="65">
        <v>0.48</v>
      </c>
      <c r="Y8" s="59"/>
      <c r="Z8" s="65">
        <v>463</v>
      </c>
      <c r="AA8" s="59"/>
      <c r="AB8" s="83">
        <v>0.65</v>
      </c>
      <c r="AC8" s="83">
        <v>0.25</v>
      </c>
      <c r="AD8" s="59"/>
      <c r="AE8" s="66">
        <v>609</v>
      </c>
      <c r="AF8" s="59"/>
      <c r="AG8" s="68">
        <v>0.69</v>
      </c>
      <c r="AH8" s="68">
        <v>0.1</v>
      </c>
      <c r="AI8" s="59"/>
      <c r="AJ8" s="68">
        <v>506</v>
      </c>
      <c r="AK8" s="59"/>
      <c r="AL8" s="71">
        <v>0.76</v>
      </c>
      <c r="AM8" s="70"/>
      <c r="AN8" s="59"/>
      <c r="AO8" s="71">
        <v>524</v>
      </c>
      <c r="AP8" s="59"/>
      <c r="AQ8" s="84">
        <v>0.67</v>
      </c>
      <c r="AR8" s="84">
        <v>0.23</v>
      </c>
      <c r="AS8" s="59"/>
      <c r="AT8" s="72">
        <v>212</v>
      </c>
      <c r="AU8" s="59"/>
      <c r="AV8" s="82">
        <v>0.73</v>
      </c>
      <c r="AW8" s="82">
        <v>0.26</v>
      </c>
      <c r="AX8" s="59"/>
      <c r="AY8" s="73">
        <v>374</v>
      </c>
      <c r="AZ8" s="59"/>
      <c r="BA8" s="85">
        <v>0.68</v>
      </c>
      <c r="BB8" s="85">
        <v>7.0000000000000007E-2</v>
      </c>
      <c r="BC8" s="59"/>
      <c r="BD8" s="74">
        <v>663</v>
      </c>
      <c r="BE8" s="59"/>
      <c r="BF8" s="76">
        <v>0.35</v>
      </c>
      <c r="BG8" s="76">
        <v>0.3</v>
      </c>
      <c r="BH8" s="59"/>
      <c r="BI8" s="76">
        <v>696</v>
      </c>
      <c r="BJ8" s="59"/>
      <c r="BK8" s="78">
        <v>0.5</v>
      </c>
      <c r="BL8" s="78">
        <v>0.28000000000000003</v>
      </c>
      <c r="BM8" s="59"/>
      <c r="BN8" s="78">
        <v>706</v>
      </c>
      <c r="BP8" s="65">
        <v>0.65</v>
      </c>
      <c r="BQ8" s="65">
        <v>-0.6</v>
      </c>
      <c r="BR8" s="80"/>
      <c r="BS8" s="81">
        <v>220</v>
      </c>
    </row>
    <row r="9" spans="1:74">
      <c r="A9">
        <v>6</v>
      </c>
      <c r="B9" t="s">
        <v>237</v>
      </c>
      <c r="C9" s="54">
        <v>0.78</v>
      </c>
      <c r="D9" s="54">
        <v>0.157</v>
      </c>
      <c r="E9" s="59"/>
      <c r="F9" s="54">
        <v>758</v>
      </c>
      <c r="H9" s="58">
        <v>0.77</v>
      </c>
      <c r="I9" s="58">
        <v>-0.45</v>
      </c>
      <c r="J9" s="59"/>
      <c r="K9" s="58">
        <v>354</v>
      </c>
      <c r="L9" s="59"/>
      <c r="M9" s="61">
        <v>0.87</v>
      </c>
      <c r="N9" s="61">
        <v>0.03</v>
      </c>
      <c r="O9" s="59"/>
      <c r="P9" s="61">
        <v>353</v>
      </c>
      <c r="Q9" s="59"/>
      <c r="R9" s="63">
        <v>0.73</v>
      </c>
      <c r="S9" s="63">
        <v>0.33</v>
      </c>
      <c r="T9" s="59"/>
      <c r="U9" s="63">
        <v>288</v>
      </c>
      <c r="V9" s="59"/>
      <c r="W9" s="65">
        <v>0.79</v>
      </c>
      <c r="X9" s="65">
        <v>0.2</v>
      </c>
      <c r="Y9" s="59"/>
      <c r="Z9" s="65">
        <v>463</v>
      </c>
      <c r="AA9" s="59"/>
      <c r="AB9" s="83">
        <v>0.62</v>
      </c>
      <c r="AC9" s="83">
        <v>0.13</v>
      </c>
      <c r="AD9" s="59"/>
      <c r="AE9" s="66">
        <v>609</v>
      </c>
      <c r="AF9" s="59"/>
      <c r="AG9" s="68">
        <v>0.81</v>
      </c>
      <c r="AH9" s="68">
        <v>-0.04</v>
      </c>
      <c r="AI9" s="59"/>
      <c r="AJ9" s="68">
        <v>506</v>
      </c>
      <c r="AK9" s="59"/>
      <c r="AL9" s="71">
        <v>0.8</v>
      </c>
      <c r="AM9" s="70"/>
      <c r="AN9" s="59"/>
      <c r="AO9" s="71">
        <v>524</v>
      </c>
      <c r="AP9" s="59"/>
      <c r="AQ9" s="84">
        <v>0.71</v>
      </c>
      <c r="AR9" s="84">
        <v>0.24</v>
      </c>
      <c r="AS9" s="59"/>
      <c r="AT9" s="72">
        <v>212</v>
      </c>
      <c r="AU9" s="59"/>
      <c r="AV9" s="82">
        <v>0.77</v>
      </c>
      <c r="AW9" s="82">
        <v>0.22</v>
      </c>
      <c r="AX9" s="59"/>
      <c r="AY9" s="73">
        <v>374</v>
      </c>
      <c r="AZ9" s="59"/>
      <c r="BA9" s="85">
        <v>0.77</v>
      </c>
      <c r="BB9" s="85">
        <v>0.06</v>
      </c>
      <c r="BC9" s="59"/>
      <c r="BD9" s="74">
        <v>663</v>
      </c>
      <c r="BE9" s="59"/>
      <c r="BF9" s="76">
        <v>0.21</v>
      </c>
      <c r="BG9" s="76">
        <v>0.03</v>
      </c>
      <c r="BH9" s="59"/>
      <c r="BI9" s="76">
        <v>696</v>
      </c>
      <c r="BJ9" s="59"/>
      <c r="BK9" s="78">
        <v>0.42</v>
      </c>
      <c r="BL9" s="78">
        <v>0.12</v>
      </c>
      <c r="BM9" s="59"/>
      <c r="BN9" s="78">
        <v>706</v>
      </c>
      <c r="BP9" s="65">
        <v>0.48</v>
      </c>
      <c r="BQ9" s="65">
        <v>0.22</v>
      </c>
      <c r="BR9" s="80"/>
      <c r="BS9" s="81">
        <v>220</v>
      </c>
    </row>
    <row r="10" spans="1:74">
      <c r="A10">
        <v>7</v>
      </c>
      <c r="B10" t="s">
        <v>238</v>
      </c>
      <c r="C10" s="54">
        <v>0.69799999999999995</v>
      </c>
      <c r="D10" s="54">
        <v>0.49099999999999999</v>
      </c>
      <c r="E10" s="59"/>
      <c r="F10" s="54">
        <v>758</v>
      </c>
      <c r="H10" s="58">
        <v>0.57999999999999996</v>
      </c>
      <c r="I10" s="58">
        <v>0.28000000000000003</v>
      </c>
      <c r="J10" s="59"/>
      <c r="K10" s="58">
        <v>354</v>
      </c>
      <c r="L10" s="59"/>
      <c r="M10" s="61">
        <v>0.62</v>
      </c>
      <c r="N10" s="61">
        <v>0.45</v>
      </c>
      <c r="O10" s="59"/>
      <c r="P10" s="61">
        <v>353</v>
      </c>
      <c r="Q10" s="59"/>
      <c r="R10" s="63">
        <v>0.64</v>
      </c>
      <c r="S10" s="63">
        <v>0.28999999999999998</v>
      </c>
      <c r="T10" s="59"/>
      <c r="U10" s="63">
        <v>288</v>
      </c>
      <c r="V10" s="59"/>
      <c r="W10" s="65">
        <v>0.61</v>
      </c>
      <c r="X10" s="65">
        <v>0.48</v>
      </c>
      <c r="Y10" s="59"/>
      <c r="Z10" s="65">
        <v>463</v>
      </c>
      <c r="AA10" s="59"/>
      <c r="AB10" s="83">
        <v>0.64</v>
      </c>
      <c r="AC10" s="83">
        <v>0.27</v>
      </c>
      <c r="AD10" s="59"/>
      <c r="AE10" s="66">
        <v>609</v>
      </c>
      <c r="AF10" s="59"/>
      <c r="AG10" s="68">
        <v>0.69</v>
      </c>
      <c r="AH10" s="68">
        <v>0.18</v>
      </c>
      <c r="AI10" s="59"/>
      <c r="AJ10" s="68">
        <v>506</v>
      </c>
      <c r="AK10" s="59"/>
      <c r="AL10" s="71">
        <v>0.72</v>
      </c>
      <c r="AM10" s="70"/>
      <c r="AN10" s="71"/>
      <c r="AO10" s="71">
        <v>524</v>
      </c>
      <c r="AP10" s="59"/>
      <c r="AQ10" s="84">
        <v>0.7</v>
      </c>
      <c r="AR10" s="84">
        <v>0.24</v>
      </c>
      <c r="AS10" s="59"/>
      <c r="AT10" s="72">
        <v>212</v>
      </c>
      <c r="AU10" s="59"/>
      <c r="AV10" s="82">
        <v>0.68</v>
      </c>
      <c r="AW10" s="82">
        <v>0.17</v>
      </c>
      <c r="AX10" s="59"/>
      <c r="AY10" s="73">
        <v>374</v>
      </c>
      <c r="AZ10" s="59"/>
      <c r="BA10" s="85">
        <v>0.75</v>
      </c>
      <c r="BB10" s="85">
        <v>0.66</v>
      </c>
      <c r="BC10" s="59"/>
      <c r="BD10" s="74">
        <v>663</v>
      </c>
      <c r="BE10" s="59"/>
      <c r="BF10" s="76">
        <v>0.27</v>
      </c>
      <c r="BG10" s="76">
        <v>0.21</v>
      </c>
      <c r="BH10" s="59"/>
      <c r="BI10" s="76">
        <v>696</v>
      </c>
      <c r="BJ10" s="59"/>
      <c r="BK10" s="78">
        <v>0.4</v>
      </c>
      <c r="BL10" s="78">
        <v>0.76</v>
      </c>
      <c r="BM10" s="59"/>
      <c r="BN10" s="78">
        <v>706</v>
      </c>
      <c r="BP10" s="65">
        <v>0.4</v>
      </c>
      <c r="BQ10" s="65">
        <v>-0.27</v>
      </c>
      <c r="BR10" s="80"/>
      <c r="BS10" s="81">
        <v>220</v>
      </c>
    </row>
    <row r="11" spans="1:74">
      <c r="A11" s="1"/>
      <c r="B11" s="1" t="s">
        <v>220</v>
      </c>
      <c r="C11" s="42" t="s">
        <v>265</v>
      </c>
      <c r="D11" s="42" t="s">
        <v>265</v>
      </c>
      <c r="E11" s="42" t="s">
        <v>265</v>
      </c>
      <c r="F11" s="42" t="s">
        <v>265</v>
      </c>
      <c r="H11" s="42" t="s">
        <v>265</v>
      </c>
      <c r="I11" s="42"/>
      <c r="J11" s="42" t="s">
        <v>265</v>
      </c>
      <c r="K11" s="42" t="s">
        <v>265</v>
      </c>
      <c r="L11" s="42" t="s">
        <v>265</v>
      </c>
      <c r="M11" s="42" t="s">
        <v>265</v>
      </c>
      <c r="N11" s="42" t="s">
        <v>265</v>
      </c>
      <c r="O11" s="42" t="s">
        <v>265</v>
      </c>
      <c r="P11" s="42" t="s">
        <v>265</v>
      </c>
      <c r="Q11" s="42" t="s">
        <v>265</v>
      </c>
      <c r="R11" s="87" t="s">
        <v>265</v>
      </c>
      <c r="S11" s="87" t="s">
        <v>265</v>
      </c>
      <c r="T11" s="87" t="s">
        <v>265</v>
      </c>
      <c r="U11" s="87" t="s">
        <v>265</v>
      </c>
      <c r="V11" s="42" t="s">
        <v>265</v>
      </c>
      <c r="W11" s="88" t="s">
        <v>265</v>
      </c>
      <c r="X11" s="88" t="s">
        <v>265</v>
      </c>
      <c r="Y11" s="88" t="s">
        <v>265</v>
      </c>
      <c r="Z11" s="88" t="s">
        <v>265</v>
      </c>
      <c r="AA11" s="42" t="s">
        <v>265</v>
      </c>
      <c r="AB11" s="89" t="s">
        <v>171</v>
      </c>
      <c r="AC11" s="89" t="s">
        <v>265</v>
      </c>
      <c r="AD11" s="89" t="s">
        <v>265</v>
      </c>
      <c r="AE11" s="89" t="s">
        <v>265</v>
      </c>
      <c r="AF11" s="42" t="s">
        <v>265</v>
      </c>
      <c r="AG11" s="90" t="s">
        <v>265</v>
      </c>
      <c r="AH11" s="90" t="s">
        <v>265</v>
      </c>
      <c r="AI11" s="90" t="s">
        <v>265</v>
      </c>
      <c r="AJ11" s="90" t="s">
        <v>265</v>
      </c>
      <c r="AK11" s="42" t="s">
        <v>265</v>
      </c>
      <c r="AL11" s="91" t="s">
        <v>265</v>
      </c>
      <c r="AM11" s="91" t="s">
        <v>265</v>
      </c>
      <c r="AN11" s="91" t="s">
        <v>265</v>
      </c>
      <c r="AO11" s="91" t="s">
        <v>265</v>
      </c>
      <c r="AP11" s="42" t="s">
        <v>265</v>
      </c>
      <c r="AQ11" s="92" t="s">
        <v>265</v>
      </c>
      <c r="AR11" s="92" t="s">
        <v>265</v>
      </c>
      <c r="AS11" s="92" t="s">
        <v>265</v>
      </c>
      <c r="AT11" s="92" t="s">
        <v>265</v>
      </c>
      <c r="AU11" s="42" t="s">
        <v>265</v>
      </c>
      <c r="AV11" s="93" t="s">
        <v>171</v>
      </c>
      <c r="AW11" s="93" t="s">
        <v>265</v>
      </c>
      <c r="AX11" s="93" t="s">
        <v>265</v>
      </c>
      <c r="AY11" s="93" t="s">
        <v>265</v>
      </c>
      <c r="AZ11" s="42" t="s">
        <v>265</v>
      </c>
      <c r="BA11" s="94" t="s">
        <v>266</v>
      </c>
      <c r="BB11" s="94" t="s">
        <v>265</v>
      </c>
      <c r="BC11" s="94" t="s">
        <v>265</v>
      </c>
      <c r="BD11" s="94" t="s">
        <v>265</v>
      </c>
      <c r="BE11" s="42" t="s">
        <v>265</v>
      </c>
      <c r="BF11" s="95" t="s">
        <v>265</v>
      </c>
      <c r="BG11" s="95" t="s">
        <v>265</v>
      </c>
      <c r="BH11" s="95" t="s">
        <v>265</v>
      </c>
      <c r="BI11" s="95" t="s">
        <v>265</v>
      </c>
      <c r="BJ11" s="42" t="s">
        <v>265</v>
      </c>
      <c r="BK11" s="96"/>
      <c r="BL11" s="96" t="s">
        <v>265</v>
      </c>
      <c r="BM11" s="96" t="s">
        <v>265</v>
      </c>
      <c r="BN11" s="96" t="s">
        <v>265</v>
      </c>
      <c r="BP11" s="79" t="s">
        <v>171</v>
      </c>
      <c r="BQ11" s="79" t="s">
        <v>171</v>
      </c>
      <c r="BR11" s="79" t="s">
        <v>171</v>
      </c>
      <c r="BS11" s="79" t="s">
        <v>171</v>
      </c>
    </row>
    <row r="12" spans="1:74">
      <c r="A12">
        <v>8</v>
      </c>
      <c r="B12" t="s">
        <v>239</v>
      </c>
      <c r="C12" s="54">
        <v>0.61499999999999999</v>
      </c>
      <c r="D12" s="59"/>
      <c r="E12" s="54">
        <v>0.53300000000000003</v>
      </c>
      <c r="F12" s="54">
        <v>758</v>
      </c>
      <c r="H12" s="58">
        <v>0.67</v>
      </c>
      <c r="I12" s="59"/>
      <c r="J12" s="97">
        <v>0.18</v>
      </c>
      <c r="K12" s="58">
        <v>354</v>
      </c>
      <c r="L12" s="59"/>
      <c r="M12" s="61">
        <v>0.82</v>
      </c>
      <c r="N12" s="59"/>
      <c r="O12" s="61">
        <v>0.24</v>
      </c>
      <c r="P12" s="61">
        <v>353</v>
      </c>
      <c r="Q12" s="59"/>
      <c r="R12" s="63">
        <v>0.39</v>
      </c>
      <c r="S12" s="59"/>
      <c r="T12" s="63">
        <v>-0.27</v>
      </c>
      <c r="U12" s="63">
        <v>288</v>
      </c>
      <c r="V12" s="59"/>
      <c r="W12" s="65">
        <v>0.7</v>
      </c>
      <c r="X12" s="59"/>
      <c r="Y12" s="65">
        <v>0.17</v>
      </c>
      <c r="Z12" s="65">
        <v>463</v>
      </c>
      <c r="AA12" s="59"/>
      <c r="AB12" s="83">
        <v>0.56000000000000005</v>
      </c>
      <c r="AC12" s="59"/>
      <c r="AD12" s="83">
        <v>0.42</v>
      </c>
      <c r="AE12" s="66">
        <v>609</v>
      </c>
      <c r="AF12" s="59"/>
      <c r="AG12" s="68">
        <v>0.79</v>
      </c>
      <c r="AH12" s="59"/>
      <c r="AI12" s="68">
        <v>0.15</v>
      </c>
      <c r="AJ12" s="68">
        <v>506</v>
      </c>
      <c r="AK12" s="59"/>
      <c r="AL12" s="71">
        <v>0.72</v>
      </c>
      <c r="AM12" s="59"/>
      <c r="AN12" s="71">
        <v>0.25</v>
      </c>
      <c r="AO12" s="71">
        <v>524</v>
      </c>
      <c r="AP12" s="59"/>
      <c r="AQ12" s="84">
        <v>0.62</v>
      </c>
      <c r="AR12" s="59"/>
      <c r="AS12" s="84">
        <v>0.32</v>
      </c>
      <c r="AT12" s="72">
        <v>212</v>
      </c>
      <c r="AU12" s="59"/>
      <c r="AV12" s="82">
        <v>0.79</v>
      </c>
      <c r="AW12" s="59"/>
      <c r="AX12" s="82">
        <v>0.34</v>
      </c>
      <c r="AY12" s="73">
        <v>374</v>
      </c>
      <c r="AZ12" s="59"/>
      <c r="BA12" s="85">
        <v>0.72</v>
      </c>
      <c r="BB12" s="59"/>
      <c r="BC12" s="85">
        <v>0.24</v>
      </c>
      <c r="BD12" s="74">
        <v>663</v>
      </c>
      <c r="BE12" s="59"/>
      <c r="BF12" s="76">
        <v>0.71</v>
      </c>
      <c r="BG12" s="59"/>
      <c r="BH12" s="76">
        <v>-0.23</v>
      </c>
      <c r="BI12" s="76">
        <v>696</v>
      </c>
      <c r="BJ12" s="59"/>
      <c r="BK12" s="78">
        <v>0.78</v>
      </c>
      <c r="BL12" s="59"/>
      <c r="BM12" s="78">
        <v>-0.17</v>
      </c>
      <c r="BN12" s="78">
        <v>706</v>
      </c>
      <c r="BP12" s="65">
        <v>0.44</v>
      </c>
      <c r="BQ12" s="80"/>
      <c r="BR12" s="65">
        <v>0.3</v>
      </c>
      <c r="BS12" s="81">
        <v>220</v>
      </c>
    </row>
    <row r="13" spans="1:74">
      <c r="A13">
        <v>9</v>
      </c>
      <c r="B13" t="s">
        <v>240</v>
      </c>
      <c r="C13" s="54">
        <v>0.59299999999999997</v>
      </c>
      <c r="D13" s="59"/>
      <c r="E13" s="54">
        <v>0.66600000000000004</v>
      </c>
      <c r="F13" s="54">
        <v>758</v>
      </c>
      <c r="H13" s="58">
        <v>0.63</v>
      </c>
      <c r="I13" s="59"/>
      <c r="J13" s="58">
        <v>0.26</v>
      </c>
      <c r="K13" s="58">
        <v>354</v>
      </c>
      <c r="L13" s="59"/>
      <c r="M13" s="61">
        <v>0.72</v>
      </c>
      <c r="N13" s="59"/>
      <c r="O13" s="61">
        <v>0.5</v>
      </c>
      <c r="P13" s="61">
        <v>353</v>
      </c>
      <c r="Q13" s="59"/>
      <c r="R13" s="63">
        <v>0.68</v>
      </c>
      <c r="S13" s="59"/>
      <c r="T13" s="63">
        <v>0.49</v>
      </c>
      <c r="U13" s="63">
        <v>288</v>
      </c>
      <c r="V13" s="59"/>
      <c r="W13" s="65">
        <v>0.7</v>
      </c>
      <c r="X13" s="59"/>
      <c r="Y13" s="65">
        <v>0.49</v>
      </c>
      <c r="Z13" s="65">
        <v>463</v>
      </c>
      <c r="AA13" s="59"/>
      <c r="AB13" s="83">
        <v>0.45</v>
      </c>
      <c r="AC13" s="59"/>
      <c r="AD13" s="83">
        <v>0.67</v>
      </c>
      <c r="AE13" s="66">
        <v>609</v>
      </c>
      <c r="AF13" s="59"/>
      <c r="AG13" s="68">
        <v>0.72</v>
      </c>
      <c r="AH13" s="59"/>
      <c r="AI13" s="68">
        <v>0.55000000000000004</v>
      </c>
      <c r="AJ13" s="68">
        <v>506</v>
      </c>
      <c r="AK13" s="59"/>
      <c r="AL13" s="71">
        <v>0.61</v>
      </c>
      <c r="AM13" s="59"/>
      <c r="AN13" s="71">
        <v>0.72</v>
      </c>
      <c r="AO13" s="71">
        <v>524</v>
      </c>
      <c r="AP13" s="59"/>
      <c r="AQ13" s="84">
        <v>0.66</v>
      </c>
      <c r="AR13" s="59"/>
      <c r="AS13" s="84">
        <v>0.34</v>
      </c>
      <c r="AT13" s="72">
        <v>212</v>
      </c>
      <c r="AU13" s="59"/>
      <c r="AV13" s="82">
        <v>0.69</v>
      </c>
      <c r="AW13" s="59"/>
      <c r="AX13" s="82">
        <v>0.55000000000000004</v>
      </c>
      <c r="AY13" s="73">
        <v>374</v>
      </c>
      <c r="AZ13" s="59"/>
      <c r="BA13" s="85">
        <v>0.71</v>
      </c>
      <c r="BB13" s="59"/>
      <c r="BC13" s="85">
        <v>0.55000000000000004</v>
      </c>
      <c r="BD13" s="74">
        <v>663</v>
      </c>
      <c r="BE13" s="59"/>
      <c r="BF13" s="76">
        <v>0.55000000000000004</v>
      </c>
      <c r="BG13" s="59"/>
      <c r="BH13" s="76">
        <v>0.4</v>
      </c>
      <c r="BI13" s="76">
        <v>696</v>
      </c>
      <c r="BJ13" s="59"/>
      <c r="BK13" s="78">
        <v>0.68</v>
      </c>
      <c r="BL13" s="59"/>
      <c r="BM13" s="78">
        <v>0.21</v>
      </c>
      <c r="BN13" s="78">
        <v>706</v>
      </c>
      <c r="BP13" s="65">
        <v>0.56999999999999995</v>
      </c>
      <c r="BQ13" s="80"/>
      <c r="BR13" s="65">
        <v>0.4</v>
      </c>
      <c r="BS13" s="81">
        <v>220</v>
      </c>
    </row>
    <row r="14" spans="1:74">
      <c r="A14">
        <v>10</v>
      </c>
      <c r="B14" t="s">
        <v>241</v>
      </c>
      <c r="C14" s="54">
        <v>0.66100000000000003</v>
      </c>
      <c r="D14" s="59"/>
      <c r="E14" s="54">
        <v>0.436</v>
      </c>
      <c r="F14" s="54">
        <v>758</v>
      </c>
      <c r="H14" s="58">
        <v>0.62</v>
      </c>
      <c r="I14" s="59"/>
      <c r="J14" s="58">
        <v>0.32</v>
      </c>
      <c r="K14" s="58">
        <v>354</v>
      </c>
      <c r="L14" s="59"/>
      <c r="M14" s="61">
        <v>0.79</v>
      </c>
      <c r="N14" s="59"/>
      <c r="O14" s="61">
        <v>0.44</v>
      </c>
      <c r="P14" s="61">
        <v>353</v>
      </c>
      <c r="Q14" s="59"/>
      <c r="R14" s="63">
        <v>0.7</v>
      </c>
      <c r="S14" s="59"/>
      <c r="T14" s="63">
        <v>0.44</v>
      </c>
      <c r="U14" s="63">
        <v>288</v>
      </c>
      <c r="V14" s="59"/>
      <c r="W14" s="65">
        <v>0.69</v>
      </c>
      <c r="X14" s="59"/>
      <c r="Y14" s="65">
        <v>0.6</v>
      </c>
      <c r="Z14" s="65">
        <v>463</v>
      </c>
      <c r="AA14" s="59"/>
      <c r="AB14" s="83">
        <v>0.47</v>
      </c>
      <c r="AC14" s="59"/>
      <c r="AD14" s="83">
        <v>0.5</v>
      </c>
      <c r="AE14" s="66">
        <v>609</v>
      </c>
      <c r="AF14" s="59"/>
      <c r="AG14" s="68">
        <v>0.74</v>
      </c>
      <c r="AH14" s="59"/>
      <c r="AI14" s="68">
        <v>0.44</v>
      </c>
      <c r="AJ14" s="68">
        <v>506</v>
      </c>
      <c r="AK14" s="59"/>
      <c r="AL14" s="71">
        <v>0.7</v>
      </c>
      <c r="AM14" s="59"/>
      <c r="AN14" s="71">
        <v>0.56000000000000005</v>
      </c>
      <c r="AO14" s="71">
        <v>524</v>
      </c>
      <c r="AP14" s="59"/>
      <c r="AQ14" s="84">
        <v>0.67</v>
      </c>
      <c r="AR14" s="59"/>
      <c r="AS14" s="84">
        <v>0.35</v>
      </c>
      <c r="AT14" s="72">
        <v>212</v>
      </c>
      <c r="AU14" s="59"/>
      <c r="AV14" s="82">
        <v>0.77</v>
      </c>
      <c r="AW14" s="59"/>
      <c r="AX14" s="82">
        <v>0.4</v>
      </c>
      <c r="AY14" s="73">
        <v>374</v>
      </c>
      <c r="AZ14" s="59"/>
      <c r="BA14" s="85">
        <v>0.7</v>
      </c>
      <c r="BB14" s="59"/>
      <c r="BC14" s="85">
        <v>0.56000000000000005</v>
      </c>
      <c r="BD14" s="74">
        <v>663</v>
      </c>
      <c r="BE14" s="59"/>
      <c r="BF14" s="76">
        <v>0.56000000000000005</v>
      </c>
      <c r="BG14" s="59"/>
      <c r="BH14" s="76">
        <v>0.36</v>
      </c>
      <c r="BI14" s="76">
        <v>696</v>
      </c>
      <c r="BJ14" s="59"/>
      <c r="BK14" s="78">
        <v>0.7</v>
      </c>
      <c r="BL14" s="59"/>
      <c r="BM14" s="78">
        <v>0.2</v>
      </c>
      <c r="BN14" s="78">
        <v>706</v>
      </c>
      <c r="BP14" s="65">
        <v>0.57999999999999996</v>
      </c>
      <c r="BQ14" s="80"/>
      <c r="BR14" s="65">
        <v>0.37</v>
      </c>
      <c r="BS14" s="81">
        <v>220</v>
      </c>
    </row>
    <row r="15" spans="1:74">
      <c r="A15">
        <v>11</v>
      </c>
      <c r="B15" t="s">
        <v>242</v>
      </c>
      <c r="C15" s="54">
        <v>0.57999999999999996</v>
      </c>
      <c r="D15" s="59"/>
      <c r="E15" s="54">
        <v>0.57999999999999996</v>
      </c>
      <c r="F15" s="54">
        <v>758</v>
      </c>
      <c r="H15" s="58">
        <v>0.68</v>
      </c>
      <c r="I15" s="59"/>
      <c r="J15" s="58">
        <v>0.3</v>
      </c>
      <c r="K15" s="58">
        <v>354</v>
      </c>
      <c r="L15" s="59"/>
      <c r="M15" s="61">
        <v>0.74</v>
      </c>
      <c r="N15" s="59"/>
      <c r="O15" s="61">
        <v>0.51</v>
      </c>
      <c r="P15" s="61">
        <v>353</v>
      </c>
      <c r="Q15" s="59"/>
      <c r="R15" s="63">
        <v>0.69</v>
      </c>
      <c r="S15" s="59"/>
      <c r="T15" s="63">
        <v>0.35</v>
      </c>
      <c r="U15" s="63">
        <v>288</v>
      </c>
      <c r="V15" s="59"/>
      <c r="W15" s="65">
        <v>0.71</v>
      </c>
      <c r="X15" s="59"/>
      <c r="Y15" s="65">
        <v>0.28000000000000003</v>
      </c>
      <c r="Z15" s="65">
        <v>463</v>
      </c>
      <c r="AA15" s="59"/>
      <c r="AB15" s="83">
        <v>0.46</v>
      </c>
      <c r="AC15" s="59"/>
      <c r="AD15" s="83">
        <v>0.59</v>
      </c>
      <c r="AE15" s="66">
        <v>609</v>
      </c>
      <c r="AF15" s="59"/>
      <c r="AG15" s="68">
        <v>0.72</v>
      </c>
      <c r="AH15" s="59"/>
      <c r="AI15" s="68">
        <v>0.34</v>
      </c>
      <c r="AJ15" s="68">
        <v>506</v>
      </c>
      <c r="AK15" s="59"/>
      <c r="AL15" s="71">
        <v>0.69</v>
      </c>
      <c r="AM15" s="59"/>
      <c r="AN15" s="71">
        <v>0.38</v>
      </c>
      <c r="AO15" s="71">
        <v>524</v>
      </c>
      <c r="AP15" s="59"/>
      <c r="AQ15" s="84">
        <v>0.66</v>
      </c>
      <c r="AR15" s="59"/>
      <c r="AS15" s="84">
        <v>0.34</v>
      </c>
      <c r="AT15" s="72">
        <v>212</v>
      </c>
      <c r="AU15" s="59"/>
      <c r="AV15" s="82">
        <v>0.66</v>
      </c>
      <c r="AW15" s="59"/>
      <c r="AX15" s="82">
        <v>0.45</v>
      </c>
      <c r="AY15" s="73">
        <v>374</v>
      </c>
      <c r="AZ15" s="59"/>
      <c r="BA15" s="85">
        <v>0.68</v>
      </c>
      <c r="BB15" s="59"/>
      <c r="BC15" s="85">
        <v>0.38</v>
      </c>
      <c r="BD15" s="74">
        <v>663</v>
      </c>
      <c r="BE15" s="59"/>
      <c r="BF15" s="76">
        <v>0.4</v>
      </c>
      <c r="BG15" s="59"/>
      <c r="BH15" s="76">
        <v>0.35</v>
      </c>
      <c r="BI15" s="76">
        <v>696</v>
      </c>
      <c r="BJ15" s="59"/>
      <c r="BK15" s="78">
        <v>0.57999999999999996</v>
      </c>
      <c r="BL15" s="59"/>
      <c r="BM15" s="78">
        <v>0.22</v>
      </c>
      <c r="BN15" s="78">
        <v>706</v>
      </c>
      <c r="BP15" s="65">
        <v>0.46</v>
      </c>
      <c r="BQ15" s="80"/>
      <c r="BR15" s="65">
        <v>0.48</v>
      </c>
      <c r="BS15" s="81">
        <v>220</v>
      </c>
    </row>
    <row r="16" spans="1:74">
      <c r="A16">
        <v>12</v>
      </c>
      <c r="B16" t="s">
        <v>243</v>
      </c>
      <c r="C16" s="54">
        <v>0.63300000000000001</v>
      </c>
      <c r="D16" s="59"/>
      <c r="E16" s="54">
        <v>0.39200000000000002</v>
      </c>
      <c r="F16" s="54">
        <v>758</v>
      </c>
      <c r="H16" s="58">
        <v>0.72</v>
      </c>
      <c r="I16" s="59"/>
      <c r="J16" s="58">
        <v>-0.06</v>
      </c>
      <c r="K16" s="58">
        <v>354</v>
      </c>
      <c r="L16" s="59"/>
      <c r="M16" s="61">
        <v>0.76</v>
      </c>
      <c r="N16" s="59"/>
      <c r="O16" s="61">
        <v>0.39</v>
      </c>
      <c r="P16" s="61">
        <v>353</v>
      </c>
      <c r="Q16" s="59"/>
      <c r="R16" s="63">
        <v>0.75</v>
      </c>
      <c r="S16" s="59"/>
      <c r="T16" s="63">
        <v>0.24</v>
      </c>
      <c r="U16" s="63">
        <v>288</v>
      </c>
      <c r="V16" s="59"/>
      <c r="W16" s="65">
        <v>0.8</v>
      </c>
      <c r="X16" s="59"/>
      <c r="Y16" s="65">
        <v>0.1</v>
      </c>
      <c r="Z16" s="65">
        <v>463</v>
      </c>
      <c r="AA16" s="59"/>
      <c r="AB16" s="83">
        <v>0.52</v>
      </c>
      <c r="AC16" s="59"/>
      <c r="AD16" s="83">
        <v>0.36</v>
      </c>
      <c r="AE16" s="66">
        <v>609</v>
      </c>
      <c r="AF16" s="59"/>
      <c r="AG16" s="68">
        <v>0.82</v>
      </c>
      <c r="AH16" s="59"/>
      <c r="AI16" s="68">
        <v>0.16</v>
      </c>
      <c r="AJ16" s="68">
        <v>506</v>
      </c>
      <c r="AK16" s="59"/>
      <c r="AL16" s="71">
        <v>0.78</v>
      </c>
      <c r="AM16" s="59"/>
      <c r="AN16" s="71">
        <v>0.18</v>
      </c>
      <c r="AO16" s="71">
        <v>524</v>
      </c>
      <c r="AP16" s="59"/>
      <c r="AQ16" s="84">
        <v>0.7</v>
      </c>
      <c r="AR16" s="59"/>
      <c r="AS16" s="84">
        <v>0.37</v>
      </c>
      <c r="AT16" s="72">
        <v>212</v>
      </c>
      <c r="AU16" s="59"/>
      <c r="AV16" s="82">
        <v>0.77</v>
      </c>
      <c r="AW16" s="59"/>
      <c r="AX16" s="82">
        <v>0.3</v>
      </c>
      <c r="AY16" s="73">
        <v>374</v>
      </c>
      <c r="AZ16" s="59"/>
      <c r="BA16" s="85">
        <v>0.8</v>
      </c>
      <c r="BB16" s="59"/>
      <c r="BC16" s="85">
        <v>0.17</v>
      </c>
      <c r="BD16" s="74">
        <v>663</v>
      </c>
      <c r="BE16" s="59"/>
      <c r="BF16" s="76">
        <v>0.56999999999999995</v>
      </c>
      <c r="BG16" s="59"/>
      <c r="BH16" s="76">
        <v>0</v>
      </c>
      <c r="BI16" s="76">
        <v>696</v>
      </c>
      <c r="BJ16" s="59"/>
      <c r="BK16" s="78">
        <v>0.67</v>
      </c>
      <c r="BL16" s="59"/>
      <c r="BM16" s="78">
        <v>0.05</v>
      </c>
      <c r="BN16" s="78">
        <v>706</v>
      </c>
      <c r="BP16" s="65">
        <v>0.56999999999999995</v>
      </c>
      <c r="BQ16" s="80"/>
      <c r="BR16" s="65">
        <v>0.3</v>
      </c>
      <c r="BS16" s="81">
        <v>220</v>
      </c>
    </row>
  </sheetData>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9E9694ACBB1642A748F1019B998BA5" ma:contentTypeVersion="4" ma:contentTypeDescription="Create a new document." ma:contentTypeScope="" ma:versionID="61ff6df9aae590251819d6b1055f6150">
  <xsd:schema xmlns:xsd="http://www.w3.org/2001/XMLSchema" xmlns:xs="http://www.w3.org/2001/XMLSchema" xmlns:p="http://schemas.microsoft.com/office/2006/metadata/properties" xmlns:ns2="df5afbf9-d65a-4be9-b940-fff79cd121d3" targetNamespace="http://schemas.microsoft.com/office/2006/metadata/properties" ma:root="true" ma:fieldsID="13886339f698a660fe55fccc33f00aca" ns2:_="">
    <xsd:import namespace="df5afbf9-d65a-4be9-b940-fff79cd121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5afbf9-d65a-4be9-b940-fff79cd121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63FF65-972F-487F-B6FE-7287BD4D5C5D}"/>
</file>

<file path=customXml/itemProps2.xml><?xml version="1.0" encoding="utf-8"?>
<ds:datastoreItem xmlns:ds="http://schemas.openxmlformats.org/officeDocument/2006/customXml" ds:itemID="{DCB1C1E4-AC24-4768-B8D3-D2A7100B977A}"/>
</file>

<file path=customXml/itemProps3.xml><?xml version="1.0" encoding="utf-8"?>
<ds:datastoreItem xmlns:ds="http://schemas.openxmlformats.org/officeDocument/2006/customXml" ds:itemID="{E80DF00B-D0EF-482E-8E65-AE8520ABBD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Mark H Freeston</cp:lastModifiedBy>
  <cp:revision/>
  <dcterms:created xsi:type="dcterms:W3CDTF">2021-06-17T14:27:39Z</dcterms:created>
  <dcterms:modified xsi:type="dcterms:W3CDTF">2021-06-18T08:42:13Z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0x0101000E9E9694ACBB1642A748F1019B998BA5</vt:lpwstr>
  </property>
</Properties>
</file>