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dw19\OneDrive - Newcastle University\Documents\Jian Paper\JOURNAL OF ENVIRONMENTAL MANAGEMENT\RevisedVersion\"/>
    </mc:Choice>
  </mc:AlternateContent>
  <xr:revisionPtr revIDLastSave="210" documentId="8_{3905BCEC-C05D-44D8-B09D-6C7AEF3E4491}" xr6:coauthVersionLast="45" xr6:coauthVersionMax="45" xr10:uidLastSave="{6536AF3F-83B6-4E6E-AC50-0AF0FDB8CE88}"/>
  <bookViews>
    <workbookView xWindow="-108" yWindow="-108" windowWidth="23256" windowHeight="12576" tabRatio="874" firstSheet="3" activeTab="5" xr2:uid="{00000000-000D-0000-FFFF-FFFF00000000}"/>
  </bookViews>
  <sheets>
    <sheet name="Breakdownwaterdemand" sheetId="1" r:id="rId1"/>
    <sheet name="WaterMeterreading" sheetId="4" r:id="rId2"/>
    <sheet name="Rainwater" sheetId="3" r:id="rId3"/>
    <sheet name="WholecampusEnergy" sheetId="10" r:id="rId4"/>
    <sheet name="Energyperm3" sheetId="5" r:id="rId5"/>
    <sheet name="CapitalOperationalCosts" sheetId="8" r:id="rId6"/>
    <sheet name="Chemicals" sheetId="12" r:id="rId7"/>
    <sheet name="Scenarios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5" l="1"/>
  <c r="N7" i="13" l="1"/>
  <c r="B21" i="4"/>
  <c r="V19" i="5" l="1"/>
  <c r="M19" i="5"/>
  <c r="B22" i="10"/>
  <c r="V16" i="5"/>
  <c r="J19" i="4"/>
  <c r="J18" i="4"/>
  <c r="J16" i="4"/>
  <c r="K14" i="1"/>
  <c r="K5" i="3"/>
  <c r="L5" i="3"/>
  <c r="L12" i="3"/>
  <c r="E15" i="8"/>
  <c r="F21" i="4"/>
  <c r="E16" i="8" l="1"/>
  <c r="D19" i="8" l="1"/>
  <c r="I5" i="8"/>
  <c r="H10" i="8"/>
  <c r="H7" i="8"/>
  <c r="H6" i="8"/>
  <c r="H5" i="8"/>
  <c r="D18" i="8"/>
  <c r="D16" i="8"/>
  <c r="D15" i="8"/>
  <c r="V4" i="5" l="1"/>
  <c r="D2" i="12"/>
  <c r="E2" i="12"/>
  <c r="F2" i="12" s="1"/>
  <c r="Q5" i="3"/>
  <c r="D14" i="8" l="1"/>
  <c r="Z2" i="5" l="1"/>
  <c r="H2" i="13" l="1"/>
  <c r="D12" i="5" l="1"/>
  <c r="D11" i="5"/>
  <c r="V5" i="5" l="1"/>
  <c r="V6" i="5"/>
  <c r="V7" i="5"/>
  <c r="V8" i="5"/>
  <c r="V9" i="5"/>
  <c r="V10" i="5"/>
  <c r="V11" i="5"/>
  <c r="V12" i="5"/>
  <c r="V13" i="5"/>
  <c r="V14" i="5"/>
  <c r="V15" i="5"/>
  <c r="H8" i="4" l="1"/>
  <c r="H16" i="4" s="1"/>
  <c r="H15" i="4"/>
  <c r="F13" i="4"/>
  <c r="F23" i="4" s="1"/>
  <c r="D13" i="4"/>
  <c r="D16" i="4" s="1"/>
  <c r="C13" i="4"/>
  <c r="C16" i="4" s="1"/>
  <c r="C12" i="1"/>
  <c r="C14" i="1" s="1"/>
  <c r="D12" i="1"/>
  <c r="D14" i="1" s="1"/>
  <c r="F12" i="1"/>
  <c r="F14" i="1" s="1"/>
  <c r="G12" i="1"/>
  <c r="G14" i="1" s="1"/>
  <c r="H12" i="1"/>
  <c r="H14" i="1" s="1"/>
  <c r="B12" i="1"/>
  <c r="B21" i="1" l="1"/>
  <c r="B22" i="1" s="1"/>
  <c r="B14" i="1"/>
  <c r="C21" i="1"/>
  <c r="C22" i="1" s="1"/>
  <c r="E21" i="1"/>
  <c r="E22" i="1" s="1"/>
  <c r="F16" i="4"/>
  <c r="D21" i="1" l="1"/>
  <c r="B16" i="1"/>
  <c r="G27" i="1"/>
  <c r="J2" i="13" s="1"/>
  <c r="D3" i="12"/>
  <c r="A24" i="13"/>
  <c r="A20" i="13"/>
  <c r="BL2" i="13"/>
  <c r="BJ2" i="13"/>
  <c r="L2" i="13"/>
  <c r="G21" i="1" l="1"/>
  <c r="G26" i="1" s="1"/>
  <c r="D22" i="1"/>
  <c r="AF2" i="13"/>
  <c r="AJ2" i="13"/>
  <c r="AH2" i="13"/>
  <c r="Z2" i="13"/>
  <c r="C10" i="13" l="1"/>
  <c r="I10" i="13"/>
  <c r="A16" i="13"/>
  <c r="B2" i="13" l="1"/>
  <c r="R7" i="13" s="1"/>
  <c r="C7" i="13" l="1"/>
  <c r="H18" i="8"/>
  <c r="BH2" i="13" s="1"/>
  <c r="I18" i="8"/>
  <c r="E28" i="4"/>
  <c r="B28" i="8"/>
  <c r="B30" i="8" s="1"/>
  <c r="S16" i="5"/>
  <c r="P16" i="5"/>
  <c r="M16" i="5"/>
  <c r="J16" i="5"/>
  <c r="G16" i="5"/>
  <c r="D16" i="5"/>
  <c r="G5" i="8" s="1"/>
  <c r="J6" i="1"/>
  <c r="J7" i="1"/>
  <c r="J8" i="1"/>
  <c r="J9" i="1"/>
  <c r="J10" i="1"/>
  <c r="J11" i="1"/>
  <c r="J12" i="1" s="1"/>
  <c r="J14" i="1" s="1"/>
  <c r="J13" i="1"/>
  <c r="J5" i="1"/>
  <c r="J4" i="1"/>
  <c r="J24" i="1"/>
  <c r="C17" i="4"/>
  <c r="C18" i="4" s="1"/>
  <c r="D17" i="4"/>
  <c r="D18" i="4" s="1"/>
  <c r="H17" i="4"/>
  <c r="H18" i="4" s="1"/>
  <c r="B16" i="4"/>
  <c r="B17" i="4"/>
  <c r="B18" i="4" s="1"/>
  <c r="F21" i="1" l="1"/>
  <c r="H21" i="1"/>
  <c r="N2" i="13"/>
  <c r="G9" i="8"/>
  <c r="X2" i="13"/>
  <c r="G6" i="8"/>
  <c r="G18" i="8" s="1"/>
  <c r="V2" i="13"/>
  <c r="G7" i="8"/>
  <c r="P2" i="13"/>
  <c r="G10" i="8"/>
  <c r="R2" i="13"/>
  <c r="G8" i="8"/>
  <c r="T2" i="13"/>
  <c r="C8" i="13" l="1"/>
  <c r="I8" i="13"/>
  <c r="Z3" i="5" l="1"/>
  <c r="E3" i="12" l="1"/>
  <c r="F3" i="12" s="1"/>
  <c r="I21" i="1" l="1"/>
  <c r="C24" i="1" l="1"/>
  <c r="E24" i="1"/>
  <c r="B24" i="1"/>
  <c r="D24" i="1"/>
  <c r="F24" i="1"/>
  <c r="C23" i="1"/>
  <c r="D6" i="8"/>
  <c r="BF2" i="13" s="1"/>
  <c r="D7" i="8"/>
  <c r="D8" i="8"/>
  <c r="BD2" i="13" s="1"/>
  <c r="D10" i="8"/>
  <c r="AT2" i="13" s="1"/>
  <c r="D11" i="8"/>
  <c r="AX2" i="13" s="1"/>
  <c r="D12" i="8"/>
  <c r="AV2" i="13" s="1"/>
  <c r="D13" i="8"/>
  <c r="AZ2" i="13" s="1"/>
  <c r="BB2" i="13"/>
  <c r="D5" i="8"/>
  <c r="AP2" i="13" s="1"/>
  <c r="R8" i="5"/>
  <c r="T8" i="5" s="1"/>
  <c r="R10" i="5"/>
  <c r="T10" i="5" s="1"/>
  <c r="R11" i="5"/>
  <c r="T11" i="5" s="1"/>
  <c r="R12" i="5"/>
  <c r="T12" i="5" s="1"/>
  <c r="R13" i="5"/>
  <c r="T13" i="5" s="1"/>
  <c r="R14" i="5"/>
  <c r="T14" i="5" s="1"/>
  <c r="R15" i="5"/>
  <c r="T15" i="5" s="1"/>
  <c r="R5" i="5"/>
  <c r="T5" i="5" s="1"/>
  <c r="R6" i="5"/>
  <c r="T6" i="5" s="1"/>
  <c r="R7" i="5"/>
  <c r="T7" i="5" s="1"/>
  <c r="R4" i="5"/>
  <c r="T4" i="5" s="1"/>
  <c r="AR2" i="13" l="1"/>
  <c r="I11" i="13" s="1"/>
  <c r="C11" i="13" l="1"/>
  <c r="F11" i="13"/>
  <c r="B11" i="13"/>
  <c r="D11" i="13" s="1"/>
  <c r="D17" i="13" s="1"/>
  <c r="G11" i="13"/>
  <c r="F6" i="8"/>
  <c r="AN2" i="13"/>
  <c r="F5" i="8"/>
  <c r="AL2" i="13"/>
  <c r="L11" i="13"/>
  <c r="O11" i="13"/>
  <c r="R11" i="13" s="1"/>
  <c r="E7" i="8"/>
  <c r="E9" i="8"/>
  <c r="E12" i="8"/>
  <c r="E6" i="8"/>
  <c r="E11" i="8"/>
  <c r="E5" i="8"/>
  <c r="E10" i="8"/>
  <c r="E14" i="8"/>
  <c r="E8" i="8"/>
  <c r="E13" i="8"/>
  <c r="I5" i="5"/>
  <c r="K5" i="5" s="1"/>
  <c r="I6" i="5"/>
  <c r="K6" i="5" s="1"/>
  <c r="I7" i="5"/>
  <c r="K7" i="5" s="1"/>
  <c r="I8" i="5"/>
  <c r="K8" i="5" s="1"/>
  <c r="I9" i="5"/>
  <c r="K9" i="5" s="1"/>
  <c r="I10" i="5"/>
  <c r="K10" i="5" s="1"/>
  <c r="I11" i="5"/>
  <c r="K11" i="5" s="1"/>
  <c r="I12" i="5"/>
  <c r="K12" i="5" s="1"/>
  <c r="I13" i="5"/>
  <c r="K13" i="5" s="1"/>
  <c r="I14" i="5"/>
  <c r="K14" i="5" s="1"/>
  <c r="I15" i="5"/>
  <c r="K15" i="5" s="1"/>
  <c r="I4" i="5"/>
  <c r="K4" i="5" s="1"/>
  <c r="F15" i="5"/>
  <c r="F5" i="5"/>
  <c r="H5" i="5" s="1"/>
  <c r="F6" i="5"/>
  <c r="H6" i="5" s="1"/>
  <c r="F7" i="5"/>
  <c r="H7" i="5" s="1"/>
  <c r="F8" i="5"/>
  <c r="H8" i="5" s="1"/>
  <c r="F10" i="5"/>
  <c r="H10" i="5" s="1"/>
  <c r="F11" i="5"/>
  <c r="H11" i="5" s="1"/>
  <c r="F12" i="5"/>
  <c r="H12" i="5" s="1"/>
  <c r="F13" i="5"/>
  <c r="F14" i="5"/>
  <c r="H14" i="5" s="1"/>
  <c r="F4" i="5"/>
  <c r="H4" i="5" s="1"/>
  <c r="C5" i="5"/>
  <c r="C6" i="5"/>
  <c r="C7" i="5"/>
  <c r="C8" i="5"/>
  <c r="C9" i="5"/>
  <c r="C10" i="5"/>
  <c r="C11" i="5"/>
  <c r="C12" i="5"/>
  <c r="C13" i="5"/>
  <c r="C14" i="5"/>
  <c r="C15" i="5"/>
  <c r="C4" i="5"/>
  <c r="E4" i="5" s="1"/>
  <c r="F18" i="8" l="1"/>
  <c r="K18" i="8" s="1"/>
  <c r="J11" i="13"/>
  <c r="D25" i="13" s="1"/>
  <c r="E11" i="13"/>
  <c r="D21" i="13"/>
  <c r="H11" i="13"/>
  <c r="K11" i="13"/>
  <c r="O13" i="5"/>
  <c r="Q13" i="5" s="1"/>
  <c r="H13" i="5"/>
  <c r="E12" i="5"/>
  <c r="U12" i="5"/>
  <c r="W12" i="5" s="1"/>
  <c r="E11" i="5"/>
  <c r="U11" i="5"/>
  <c r="W11" i="5" s="1"/>
  <c r="E14" i="5"/>
  <c r="U14" i="5"/>
  <c r="W14" i="5" s="1"/>
  <c r="E9" i="5"/>
  <c r="U8" i="5"/>
  <c r="W8" i="5" s="1"/>
  <c r="E8" i="5"/>
  <c r="U10" i="5"/>
  <c r="W10" i="5" s="1"/>
  <c r="E10" i="5"/>
  <c r="E13" i="5"/>
  <c r="U13" i="5"/>
  <c r="W13" i="5" s="1"/>
  <c r="U6" i="5"/>
  <c r="W6" i="5" s="1"/>
  <c r="E6" i="5"/>
  <c r="U7" i="5"/>
  <c r="W7" i="5" s="1"/>
  <c r="E7" i="5"/>
  <c r="O15" i="5"/>
  <c r="Q15" i="5" s="1"/>
  <c r="H15" i="5"/>
  <c r="E5" i="5"/>
  <c r="U5" i="5"/>
  <c r="W5" i="5" s="1"/>
  <c r="E15" i="5"/>
  <c r="U15" i="5"/>
  <c r="W15" i="5" s="1"/>
  <c r="S11" i="13"/>
  <c r="T11" i="13"/>
  <c r="Q11" i="13"/>
  <c r="P11" i="13"/>
  <c r="M11" i="13"/>
  <c r="N11" i="13"/>
  <c r="C16" i="5"/>
  <c r="I16" i="5"/>
  <c r="O14" i="5"/>
  <c r="Q14" i="5" s="1"/>
  <c r="O12" i="5"/>
  <c r="Q12" i="5" s="1"/>
  <c r="O10" i="5"/>
  <c r="Q10" i="5" s="1"/>
  <c r="O8" i="5"/>
  <c r="Q8" i="5" s="1"/>
  <c r="O6" i="5"/>
  <c r="Q6" i="5" s="1"/>
  <c r="O11" i="5"/>
  <c r="Q11" i="5" s="1"/>
  <c r="O7" i="5"/>
  <c r="Q7" i="5" s="1"/>
  <c r="O5" i="5"/>
  <c r="Q5" i="5" s="1"/>
  <c r="K16" i="5"/>
  <c r="U4" i="5"/>
  <c r="O4" i="5"/>
  <c r="Q4" i="5" s="1"/>
  <c r="G19" i="5" l="1"/>
  <c r="S19" i="5"/>
  <c r="J19" i="5"/>
  <c r="D19" i="5"/>
  <c r="P19" i="5"/>
  <c r="W4" i="5"/>
  <c r="F11" i="10" l="1"/>
  <c r="F13" i="10" l="1"/>
  <c r="F5" i="10"/>
  <c r="C5" i="10" s="1"/>
  <c r="B19" i="10"/>
  <c r="B16" i="10"/>
  <c r="D16" i="10"/>
  <c r="D19" i="10"/>
  <c r="F9" i="10"/>
  <c r="F6" i="10"/>
  <c r="F7" i="10"/>
  <c r="C11" i="10"/>
  <c r="E11" i="10"/>
  <c r="E5" i="10"/>
  <c r="F15" i="10"/>
  <c r="F8" i="10"/>
  <c r="F10" i="10"/>
  <c r="F12" i="10"/>
  <c r="F14" i="10"/>
  <c r="C6" i="10" l="1"/>
  <c r="C10" i="10"/>
  <c r="E13" i="10"/>
  <c r="C13" i="10"/>
  <c r="E9" i="10"/>
  <c r="E6" i="10"/>
  <c r="C9" i="10"/>
  <c r="F16" i="10"/>
  <c r="C14" i="10"/>
  <c r="C7" i="10"/>
  <c r="E7" i="10"/>
  <c r="E8" i="10"/>
  <c r="C15" i="10"/>
  <c r="E14" i="10"/>
  <c r="F19" i="10"/>
  <c r="E12" i="10"/>
  <c r="C8" i="10"/>
  <c r="E15" i="10"/>
  <c r="E10" i="10"/>
  <c r="C12" i="10"/>
  <c r="E19" i="10" l="1"/>
  <c r="C16" i="10"/>
  <c r="E16" i="10"/>
  <c r="B22" i="5" l="1"/>
  <c r="AD2" i="13"/>
  <c r="C12" i="13" s="1"/>
  <c r="G2" i="12"/>
  <c r="F3" i="1"/>
  <c r="F17" i="1" s="1"/>
  <c r="H3" i="1"/>
  <c r="I3" i="1" l="1"/>
  <c r="H17" i="1"/>
  <c r="B24" i="5"/>
  <c r="K18" i="5"/>
  <c r="C9" i="3"/>
  <c r="G22" i="1" l="1"/>
  <c r="H22" i="1"/>
  <c r="I22" i="1"/>
  <c r="AB2" i="13"/>
  <c r="I9" i="13"/>
  <c r="E16" i="5"/>
  <c r="E18" i="5" s="1"/>
  <c r="E5" i="3"/>
  <c r="N5" i="3"/>
  <c r="O5" i="3" s="1"/>
  <c r="H5" i="3"/>
  <c r="I5" i="3" s="1"/>
  <c r="G28" i="4" l="1"/>
  <c r="D2" i="13"/>
  <c r="C9" i="13"/>
  <c r="I6" i="1"/>
  <c r="G5" i="4" s="1"/>
  <c r="I7" i="1"/>
  <c r="G6" i="4" s="1"/>
  <c r="I8" i="1"/>
  <c r="G7" i="4" s="1"/>
  <c r="I9" i="1"/>
  <c r="G10" i="4" s="1"/>
  <c r="I10" i="1"/>
  <c r="G11" i="4" s="1"/>
  <c r="I11" i="1"/>
  <c r="I13" i="1"/>
  <c r="I5" i="1"/>
  <c r="I7" i="13" l="1"/>
  <c r="I12" i="13" s="1"/>
  <c r="R10" i="13"/>
  <c r="R8" i="13"/>
  <c r="R12" i="13" s="1"/>
  <c r="G4" i="4"/>
  <c r="G12" i="4"/>
  <c r="I12" i="1"/>
  <c r="I14" i="1" s="1"/>
  <c r="G9" i="4"/>
  <c r="G8" i="4"/>
  <c r="G14" i="4"/>
  <c r="G15" i="4" s="1"/>
  <c r="G13" i="4" l="1"/>
  <c r="G16" i="4" s="1"/>
  <c r="D16" i="1"/>
  <c r="L16" i="1" s="1"/>
  <c r="E13" i="1"/>
  <c r="E11" i="1"/>
  <c r="E10" i="1"/>
  <c r="E9" i="1"/>
  <c r="E8" i="1"/>
  <c r="E7" i="1"/>
  <c r="E6" i="1"/>
  <c r="E5" i="1"/>
  <c r="E3" i="1"/>
  <c r="Y16" i="5" s="1"/>
  <c r="E5" i="4" l="1"/>
  <c r="L5" i="5" s="1"/>
  <c r="N5" i="5" s="1"/>
  <c r="E10" i="4"/>
  <c r="L10" i="5" s="1"/>
  <c r="N10" i="5" s="1"/>
  <c r="F22" i="1"/>
  <c r="L22" i="1" s="1"/>
  <c r="E6" i="4"/>
  <c r="L6" i="5" s="1"/>
  <c r="N6" i="5" s="1"/>
  <c r="E7" i="4"/>
  <c r="L7" i="5" s="1"/>
  <c r="N7" i="5" s="1"/>
  <c r="E11" i="4"/>
  <c r="L11" i="5" s="1"/>
  <c r="N11" i="5" s="1"/>
  <c r="E4" i="4"/>
  <c r="L4" i="5" s="1"/>
  <c r="G17" i="4"/>
  <c r="G18" i="4" s="1"/>
  <c r="J3" i="1"/>
  <c r="J15" i="1" s="1"/>
  <c r="E12" i="4"/>
  <c r="E12" i="1"/>
  <c r="E8" i="4"/>
  <c r="L8" i="5" s="1"/>
  <c r="N8" i="5" s="1"/>
  <c r="E14" i="4"/>
  <c r="H19" i="1"/>
  <c r="C16" i="1"/>
  <c r="G17" i="1"/>
  <c r="I17" i="1" s="1"/>
  <c r="E23" i="1"/>
  <c r="E9" i="4" l="1"/>
  <c r="L9" i="5" s="1"/>
  <c r="N9" i="5" s="1"/>
  <c r="E14" i="1"/>
  <c r="L14" i="5"/>
  <c r="N14" i="5" s="1"/>
  <c r="E15" i="4"/>
  <c r="L15" i="5" s="1"/>
  <c r="N15" i="5" s="1"/>
  <c r="E13" i="4"/>
  <c r="L13" i="5" s="1"/>
  <c r="N13" i="5" s="1"/>
  <c r="L12" i="5"/>
  <c r="N12" i="5" s="1"/>
  <c r="E16" i="4"/>
  <c r="C18" i="1"/>
  <c r="B18" i="1"/>
  <c r="D18" i="1"/>
  <c r="G19" i="1"/>
  <c r="F19" i="1"/>
  <c r="N16" i="5" l="1"/>
  <c r="N18" i="5" s="1"/>
  <c r="E17" i="4"/>
  <c r="E18" i="4" s="1"/>
  <c r="L16" i="5"/>
  <c r="F5" i="3"/>
  <c r="R9" i="5"/>
  <c r="F9" i="5"/>
  <c r="F17" i="4"/>
  <c r="F18" i="4" s="1"/>
  <c r="BN2" i="13"/>
  <c r="L7" i="13" s="1"/>
  <c r="L10" i="13" l="1"/>
  <c r="L8" i="13"/>
  <c r="L12" i="13" s="1"/>
  <c r="R5" i="3"/>
  <c r="F2" i="13"/>
  <c r="H9" i="5"/>
  <c r="U9" i="5"/>
  <c r="W9" i="5" s="1"/>
  <c r="W16" i="5" s="1"/>
  <c r="W18" i="5" s="1"/>
  <c r="R16" i="5"/>
  <c r="T9" i="5"/>
  <c r="T16" i="5" s="1"/>
  <c r="T18" i="5" s="1"/>
  <c r="O9" i="5"/>
  <c r="Q9" i="5" s="1"/>
  <c r="F16" i="5"/>
  <c r="H16" i="5"/>
  <c r="H18" i="5" s="1"/>
  <c r="B29" i="8"/>
  <c r="F28" i="4"/>
  <c r="G3" i="12"/>
  <c r="H28" i="4" l="1"/>
  <c r="E29" i="4" s="1"/>
  <c r="F7" i="13"/>
  <c r="O7" i="13"/>
  <c r="B7" i="13"/>
  <c r="U16" i="5"/>
  <c r="O16" i="5"/>
  <c r="Q16" i="5"/>
  <c r="Q18" i="5" s="1"/>
  <c r="F29" i="4" l="1"/>
  <c r="O10" i="13"/>
  <c r="O8" i="13"/>
  <c r="O12" i="13" s="1"/>
  <c r="B10" i="13"/>
  <c r="K10" i="13" s="1"/>
  <c r="B8" i="13"/>
  <c r="B12" i="13" s="1"/>
  <c r="F10" i="13"/>
  <c r="F8" i="13"/>
  <c r="F9" i="13" s="1"/>
  <c r="B9" i="13"/>
  <c r="S7" i="13"/>
  <c r="T7" i="13"/>
  <c r="O9" i="13"/>
  <c r="G29" i="4"/>
  <c r="F12" i="13" l="1"/>
  <c r="T10" i="13"/>
  <c r="S10" i="13"/>
  <c r="T12" i="13"/>
  <c r="S12" i="13"/>
  <c r="S8" i="13"/>
  <c r="T8" i="13"/>
  <c r="R9" i="13"/>
  <c r="Q7" i="13"/>
  <c r="P7" i="13"/>
  <c r="P8" i="13"/>
  <c r="Q8" i="13"/>
  <c r="J10" i="13"/>
  <c r="Q10" i="13"/>
  <c r="P10" i="13"/>
  <c r="E10" i="13"/>
  <c r="D7" i="13"/>
  <c r="E7" i="13"/>
  <c r="D10" i="13"/>
  <c r="K7" i="13"/>
  <c r="J7" i="13"/>
  <c r="G10" i="13"/>
  <c r="H10" i="13"/>
  <c r="G7" i="13"/>
  <c r="H7" i="13"/>
  <c r="T9" i="13" l="1"/>
  <c r="S9" i="13"/>
  <c r="Q9" i="13"/>
  <c r="P9" i="13"/>
  <c r="M7" i="13"/>
  <c r="P12" i="13"/>
  <c r="Q12" i="13"/>
  <c r="D8" i="13"/>
  <c r="E8" i="13"/>
  <c r="J8" i="13"/>
  <c r="K8" i="13"/>
  <c r="N12" i="13" l="1"/>
  <c r="M12" i="13"/>
  <c r="M8" i="13"/>
  <c r="N8" i="13"/>
  <c r="L9" i="13"/>
  <c r="M10" i="13"/>
  <c r="N10" i="13"/>
  <c r="E12" i="13"/>
  <c r="D12" i="13"/>
  <c r="E17" i="13" s="1"/>
  <c r="D9" i="13"/>
  <c r="E9" i="13"/>
  <c r="J9" i="13"/>
  <c r="K9" i="13"/>
  <c r="K12" i="13"/>
  <c r="J12" i="13"/>
  <c r="E25" i="13" s="1"/>
  <c r="G8" i="13"/>
  <c r="H8" i="13"/>
  <c r="F25" i="13" l="1"/>
  <c r="G25" i="13" s="1"/>
  <c r="H25" i="13" s="1"/>
  <c r="I25" i="13" s="1"/>
  <c r="J25" i="13" s="1"/>
  <c r="K25" i="13" s="1"/>
  <c r="L25" i="13" s="1"/>
  <c r="M25" i="13" s="1"/>
  <c r="N25" i="13" s="1"/>
  <c r="O25" i="13" s="1"/>
  <c r="P25" i="13" s="1"/>
  <c r="Q25" i="13" s="1"/>
  <c r="R25" i="13" s="1"/>
  <c r="S25" i="13" s="1"/>
  <c r="F17" i="13"/>
  <c r="G17" i="13" s="1"/>
  <c r="H17" i="13" s="1"/>
  <c r="I17" i="13" s="1"/>
  <c r="J17" i="13" s="1"/>
  <c r="K17" i="13" s="1"/>
  <c r="L17" i="13" s="1"/>
  <c r="M17" i="13" s="1"/>
  <c r="N17" i="13" s="1"/>
  <c r="O17" i="13" s="1"/>
  <c r="P17" i="13" s="1"/>
  <c r="Q17" i="13" s="1"/>
  <c r="R17" i="13" s="1"/>
  <c r="S17" i="13" s="1"/>
  <c r="T17" i="13" s="1"/>
  <c r="U17" i="13" s="1"/>
  <c r="V17" i="13" s="1"/>
  <c r="W17" i="13" s="1"/>
  <c r="X17" i="13" s="1"/>
  <c r="Y17" i="13" s="1"/>
  <c r="Z17" i="13" s="1"/>
  <c r="AA17" i="13" s="1"/>
  <c r="AB17" i="13" s="1"/>
  <c r="AC17" i="13" s="1"/>
  <c r="AD17" i="13" s="1"/>
  <c r="AE17" i="13" s="1"/>
  <c r="AF17" i="13" s="1"/>
  <c r="AG17" i="13" s="1"/>
  <c r="AH17" i="13" s="1"/>
  <c r="AI17" i="13" s="1"/>
  <c r="AJ17" i="13" s="1"/>
  <c r="AK17" i="13" s="1"/>
  <c r="AL17" i="13" s="1"/>
  <c r="AM17" i="13" s="1"/>
  <c r="AN17" i="13" s="1"/>
  <c r="AO17" i="13" s="1"/>
  <c r="AP17" i="13" s="1"/>
  <c r="AQ17" i="13" s="1"/>
  <c r="AR17" i="13" s="1"/>
  <c r="AS17" i="13" s="1"/>
  <c r="AT17" i="13" s="1"/>
  <c r="AU17" i="13" s="1"/>
  <c r="AV17" i="13" s="1"/>
  <c r="AW17" i="13" s="1"/>
  <c r="AX17" i="13" s="1"/>
  <c r="AY17" i="13" s="1"/>
  <c r="AZ17" i="13" s="1"/>
  <c r="BA17" i="13" s="1"/>
  <c r="BB17" i="13" s="1"/>
  <c r="BC17" i="13" s="1"/>
  <c r="BD17" i="13" s="1"/>
  <c r="BE17" i="13" s="1"/>
  <c r="BF17" i="13" s="1"/>
  <c r="BG17" i="13" s="1"/>
  <c r="BH17" i="13" s="1"/>
  <c r="BI17" i="13" s="1"/>
  <c r="BJ17" i="13" s="1"/>
  <c r="BK17" i="13" s="1"/>
  <c r="BL17" i="13" s="1"/>
  <c r="BM17" i="13" s="1"/>
  <c r="BN17" i="13" s="1"/>
  <c r="BO17" i="13" s="1"/>
  <c r="BP17" i="13" s="1"/>
  <c r="BQ17" i="13" s="1"/>
  <c r="BR17" i="13" s="1"/>
  <c r="BS17" i="13" s="1"/>
  <c r="BT17" i="13" s="1"/>
  <c r="BU17" i="13" s="1"/>
  <c r="BV17" i="13" s="1"/>
  <c r="BW17" i="13" s="1"/>
  <c r="BX17" i="13" s="1"/>
  <c r="BY17" i="13" s="1"/>
  <c r="BZ17" i="13" s="1"/>
  <c r="CA17" i="13" s="1"/>
  <c r="CB17" i="13" s="1"/>
  <c r="CC17" i="13" s="1"/>
  <c r="CD17" i="13" s="1"/>
  <c r="CE17" i="13" s="1"/>
  <c r="CF17" i="13" s="1"/>
  <c r="CG17" i="13" s="1"/>
  <c r="CH17" i="13" s="1"/>
  <c r="CI17" i="13" s="1"/>
  <c r="CJ17" i="13" s="1"/>
  <c r="CK17" i="13" s="1"/>
  <c r="CL17" i="13" s="1"/>
  <c r="CM17" i="13" s="1"/>
  <c r="CN17" i="13" s="1"/>
  <c r="CO17" i="13" s="1"/>
  <c r="CP17" i="13" s="1"/>
  <c r="CQ17" i="13" s="1"/>
  <c r="CR17" i="13" s="1"/>
  <c r="CS17" i="13" s="1"/>
  <c r="CT17" i="13" s="1"/>
  <c r="CU17" i="13" s="1"/>
  <c r="CV17" i="13" s="1"/>
  <c r="CW17" i="13" s="1"/>
  <c r="CX17" i="13" s="1"/>
  <c r="CY17" i="13" s="1"/>
  <c r="CZ17" i="13" s="1"/>
  <c r="DA17" i="13" s="1"/>
  <c r="DB17" i="13" s="1"/>
  <c r="DC17" i="13" s="1"/>
  <c r="DD17" i="13" s="1"/>
  <c r="DE17" i="13" s="1"/>
  <c r="DF17" i="13" s="1"/>
  <c r="DG17" i="13" s="1"/>
  <c r="DH17" i="13" s="1"/>
  <c r="DI17" i="13" s="1"/>
  <c r="DJ17" i="13" s="1"/>
  <c r="DK17" i="13" s="1"/>
  <c r="DL17" i="13" s="1"/>
  <c r="DM17" i="13" s="1"/>
  <c r="DN17" i="13" s="1"/>
  <c r="DO17" i="13" s="1"/>
  <c r="DP17" i="13" s="1"/>
  <c r="DQ17" i="13" s="1"/>
  <c r="DR17" i="13" s="1"/>
  <c r="DS17" i="13" s="1"/>
  <c r="DT17" i="13" s="1"/>
  <c r="DU17" i="13" s="1"/>
  <c r="DV17" i="13" s="1"/>
  <c r="DW17" i="13" s="1"/>
  <c r="DX17" i="13" s="1"/>
  <c r="DY17" i="13" s="1"/>
  <c r="DZ17" i="13" s="1"/>
  <c r="EA17" i="13" s="1"/>
  <c r="EB17" i="13" s="1"/>
  <c r="EC17" i="13" s="1"/>
  <c r="ED17" i="13" s="1"/>
  <c r="EE17" i="13" s="1"/>
  <c r="EF17" i="13" s="1"/>
  <c r="EG17" i="13" s="1"/>
  <c r="EH17" i="13" s="1"/>
  <c r="EI17" i="13" s="1"/>
  <c r="EJ17" i="13" s="1"/>
  <c r="EK17" i="13" s="1"/>
  <c r="EL17" i="13" s="1"/>
  <c r="EM17" i="13" s="1"/>
  <c r="EN17" i="13" s="1"/>
  <c r="EO17" i="13" s="1"/>
  <c r="EP17" i="13" s="1"/>
  <c r="EQ17" i="13" s="1"/>
  <c r="ER17" i="13" s="1"/>
  <c r="ES17" i="13" s="1"/>
  <c r="ET17" i="13" s="1"/>
  <c r="EU17" i="13" s="1"/>
  <c r="EV17" i="13" s="1"/>
  <c r="EW17" i="13" s="1"/>
  <c r="EX17" i="13" s="1"/>
  <c r="EY17" i="13" s="1"/>
  <c r="EZ17" i="13" s="1"/>
  <c r="FA17" i="13" s="1"/>
  <c r="FB17" i="13" s="1"/>
  <c r="FC17" i="13" s="1"/>
  <c r="FD17" i="13" s="1"/>
  <c r="FE17" i="13" s="1"/>
  <c r="FF17" i="13" s="1"/>
  <c r="FG17" i="13" s="1"/>
  <c r="FH17" i="13" s="1"/>
  <c r="FI17" i="13" s="1"/>
  <c r="FJ17" i="13" s="1"/>
  <c r="FK17" i="13" s="1"/>
  <c r="FL17" i="13" s="1"/>
  <c r="FM17" i="13" s="1"/>
  <c r="FN17" i="13" s="1"/>
  <c r="FO17" i="13" s="1"/>
  <c r="FP17" i="13" s="1"/>
  <c r="FQ17" i="13" s="1"/>
  <c r="FR17" i="13" s="1"/>
  <c r="FS17" i="13" s="1"/>
  <c r="FT17" i="13" s="1"/>
  <c r="FU17" i="13" s="1"/>
  <c r="FV17" i="13" s="1"/>
  <c r="FW17" i="13" s="1"/>
  <c r="FX17" i="13" s="1"/>
  <c r="FY17" i="13" s="1"/>
  <c r="FZ17" i="13" s="1"/>
  <c r="GA17" i="13" s="1"/>
  <c r="GB17" i="13" s="1"/>
  <c r="GC17" i="13" s="1"/>
  <c r="GD17" i="13" s="1"/>
  <c r="GE17" i="13" s="1"/>
  <c r="GF17" i="13" s="1"/>
  <c r="GG17" i="13" s="1"/>
  <c r="GH17" i="13" s="1"/>
  <c r="GI17" i="13" s="1"/>
  <c r="GJ17" i="13" s="1"/>
  <c r="GK17" i="13" s="1"/>
  <c r="GL17" i="13" s="1"/>
  <c r="GM17" i="13" s="1"/>
  <c r="GN17" i="13" s="1"/>
  <c r="GO17" i="13" s="1"/>
  <c r="GP17" i="13" s="1"/>
  <c r="GQ17" i="13" s="1"/>
  <c r="GR17" i="13" s="1"/>
  <c r="GS17" i="13" s="1"/>
  <c r="GT17" i="13" s="1"/>
  <c r="GU17" i="13" s="1"/>
  <c r="GV17" i="13" s="1"/>
  <c r="GW17" i="13" s="1"/>
  <c r="GX17" i="13" s="1"/>
  <c r="GY17" i="13" s="1"/>
  <c r="GZ17" i="13" s="1"/>
  <c r="HA17" i="13" s="1"/>
  <c r="HB17" i="13" s="1"/>
  <c r="HC17" i="13" s="1"/>
  <c r="HD17" i="13" s="1"/>
  <c r="HE17" i="13" s="1"/>
  <c r="HF17" i="13" s="1"/>
  <c r="HG17" i="13" s="1"/>
  <c r="HH17" i="13" s="1"/>
  <c r="HI17" i="13" s="1"/>
  <c r="HJ17" i="13" s="1"/>
  <c r="HK17" i="13" s="1"/>
  <c r="HL17" i="13" s="1"/>
  <c r="HM17" i="13" s="1"/>
  <c r="HN17" i="13" s="1"/>
  <c r="HO17" i="13" s="1"/>
  <c r="HP17" i="13" s="1"/>
  <c r="HQ17" i="13" s="1"/>
  <c r="HR17" i="13" s="1"/>
  <c r="HS17" i="13" s="1"/>
  <c r="HT17" i="13" s="1"/>
  <c r="HU17" i="13" s="1"/>
  <c r="HV17" i="13" s="1"/>
  <c r="HW17" i="13" s="1"/>
  <c r="HX17" i="13" s="1"/>
  <c r="HY17" i="13" s="1"/>
  <c r="HZ17" i="13" s="1"/>
  <c r="IA17" i="13" s="1"/>
  <c r="IB17" i="13" s="1"/>
  <c r="IC17" i="13" s="1"/>
  <c r="ID17" i="13" s="1"/>
  <c r="IE17" i="13" s="1"/>
  <c r="IF17" i="13" s="1"/>
  <c r="IG17" i="13" s="1"/>
  <c r="IH17" i="13" s="1"/>
  <c r="II17" i="13" s="1"/>
  <c r="IJ17" i="13" s="1"/>
  <c r="IK17" i="13" s="1"/>
  <c r="IL17" i="13" s="1"/>
  <c r="IM17" i="13" s="1"/>
  <c r="IN17" i="13" s="1"/>
  <c r="IO17" i="13" s="1"/>
  <c r="IP17" i="13" s="1"/>
  <c r="IQ17" i="13" s="1"/>
  <c r="IR17" i="13" s="1"/>
  <c r="IS17" i="13" s="1"/>
  <c r="IT17" i="13" s="1"/>
  <c r="N9" i="13"/>
  <c r="M9" i="13"/>
  <c r="H12" i="13"/>
  <c r="G12" i="13"/>
  <c r="E21" i="13" s="1"/>
  <c r="H9" i="13"/>
  <c r="G9" i="13"/>
  <c r="C25" i="13" l="1"/>
  <c r="C17" i="13"/>
  <c r="F21" i="13"/>
  <c r="G21" i="13" s="1"/>
  <c r="H21" i="13" s="1"/>
  <c r="I21" i="13" s="1"/>
  <c r="J21" i="13" s="1"/>
  <c r="K21" i="13" s="1"/>
  <c r="L21" i="13" s="1"/>
  <c r="M21" i="13" s="1"/>
  <c r="N21" i="13" s="1"/>
  <c r="O21" i="13" s="1"/>
  <c r="P21" i="13" s="1"/>
  <c r="Q21" i="13" s="1"/>
  <c r="R21" i="13" s="1"/>
  <c r="S21" i="13" s="1"/>
  <c r="T21" i="13" s="1"/>
  <c r="U21" i="13" s="1"/>
  <c r="V21" i="13" s="1"/>
  <c r="W21" i="13" s="1"/>
  <c r="X21" i="13" s="1"/>
  <c r="Y21" i="13" s="1"/>
  <c r="Z21" i="13" s="1"/>
  <c r="AA21" i="13" s="1"/>
  <c r="AB21" i="13" s="1"/>
  <c r="AC21" i="13" s="1"/>
  <c r="AD21" i="13" s="1"/>
  <c r="AE21" i="13" s="1"/>
  <c r="AF21" i="13" s="1"/>
  <c r="AG21" i="13" s="1"/>
  <c r="AH21" i="13" s="1"/>
  <c r="AI21" i="13" s="1"/>
  <c r="AJ21" i="13" s="1"/>
  <c r="AK21" i="13" s="1"/>
  <c r="AL21" i="13" s="1"/>
  <c r="AM21" i="13" s="1"/>
  <c r="AN21" i="13" s="1"/>
  <c r="AO21" i="13" s="1"/>
  <c r="AP21" i="13" s="1"/>
  <c r="AQ21" i="13" s="1"/>
  <c r="AR21" i="13" s="1"/>
  <c r="AS21" i="13" s="1"/>
  <c r="AT21" i="13" s="1"/>
  <c r="AU21" i="13" s="1"/>
  <c r="AV21" i="13" s="1"/>
  <c r="AW21" i="13" s="1"/>
  <c r="AX21" i="13" s="1"/>
  <c r="AY21" i="13" s="1"/>
  <c r="AZ21" i="13" s="1"/>
  <c r="BA21" i="13" s="1"/>
  <c r="BB21" i="13" s="1"/>
  <c r="BC21" i="13" s="1"/>
  <c r="BD21" i="13" s="1"/>
  <c r="BE21" i="13" s="1"/>
  <c r="BF21" i="13" s="1"/>
  <c r="BG21" i="13" s="1"/>
  <c r="BH21" i="13" s="1"/>
  <c r="BI21" i="13" s="1"/>
  <c r="BJ21" i="13" s="1"/>
  <c r="BK21" i="13" s="1"/>
  <c r="BL21" i="13" s="1"/>
  <c r="BM21" i="13" s="1"/>
  <c r="BN21" i="13" s="1"/>
  <c r="BO21" i="13" s="1"/>
  <c r="BP21" i="13" s="1"/>
  <c r="BQ21" i="13" s="1"/>
  <c r="BR21" i="13" s="1"/>
  <c r="BS21" i="13" s="1"/>
  <c r="BT21" i="13" s="1"/>
  <c r="BU21" i="13" s="1"/>
  <c r="BV21" i="13" s="1"/>
  <c r="BW21" i="13" s="1"/>
  <c r="BX21" i="13" s="1"/>
  <c r="BY21" i="13" s="1"/>
  <c r="BZ21" i="13" s="1"/>
  <c r="CA21" i="13" s="1"/>
  <c r="CB21" i="13" s="1"/>
  <c r="CC21" i="13" s="1"/>
  <c r="CD21" i="13" s="1"/>
  <c r="CE21" i="13" s="1"/>
  <c r="CF21" i="13" s="1"/>
  <c r="CG21" i="13" s="1"/>
  <c r="CH21" i="13" s="1"/>
  <c r="CI21" i="13" s="1"/>
  <c r="CJ21" i="13" s="1"/>
  <c r="CK21" i="13" s="1"/>
  <c r="CL21" i="13" s="1"/>
  <c r="CM21" i="13" s="1"/>
  <c r="CN21" i="13" s="1"/>
  <c r="CO21" i="13" s="1"/>
  <c r="CP21" i="13" s="1"/>
  <c r="CQ21" i="13" s="1"/>
  <c r="CR21" i="13" s="1"/>
  <c r="CS21" i="13" s="1"/>
  <c r="CT21" i="13" s="1"/>
  <c r="CU21" i="13" s="1"/>
  <c r="CV21" i="13" s="1"/>
  <c r="CW21" i="13" s="1"/>
  <c r="CX21" i="13" s="1"/>
  <c r="CY21" i="13" s="1"/>
  <c r="CZ21" i="13" s="1"/>
  <c r="DA21" i="13" s="1"/>
  <c r="DB21" i="13" s="1"/>
  <c r="DC21" i="13" s="1"/>
  <c r="DD21" i="13" s="1"/>
  <c r="DE21" i="13" s="1"/>
  <c r="DF21" i="13" s="1"/>
  <c r="DG21" i="13" s="1"/>
  <c r="DH21" i="13" s="1"/>
  <c r="DI21" i="13" s="1"/>
  <c r="DJ21" i="13" s="1"/>
  <c r="DK21" i="13" s="1"/>
  <c r="DL21" i="13" s="1"/>
  <c r="DM21" i="13" s="1"/>
  <c r="DN21" i="13" s="1"/>
  <c r="DO21" i="13" s="1"/>
  <c r="DP21" i="13" s="1"/>
  <c r="DQ21" i="13" s="1"/>
  <c r="DR21" i="13" s="1"/>
  <c r="DS21" i="13" s="1"/>
  <c r="DT21" i="13" s="1"/>
  <c r="DU21" i="13" s="1"/>
  <c r="DV21" i="13" s="1"/>
  <c r="DW21" i="13" s="1"/>
  <c r="DX21" i="13" s="1"/>
  <c r="DY21" i="13" s="1"/>
  <c r="DZ21" i="13" s="1"/>
  <c r="EA21" i="13" s="1"/>
  <c r="EB21" i="13" s="1"/>
  <c r="EC21" i="13" s="1"/>
  <c r="ED21" i="13" s="1"/>
  <c r="EE21" i="13" s="1"/>
  <c r="EF21" i="13" s="1"/>
  <c r="EG21" i="13" s="1"/>
  <c r="EH21" i="13" s="1"/>
  <c r="EI21" i="13" s="1"/>
  <c r="EJ21" i="13" s="1"/>
  <c r="EK21" i="13" s="1"/>
  <c r="EL21" i="13" s="1"/>
  <c r="EM21" i="13" s="1"/>
  <c r="EN21" i="13" s="1"/>
  <c r="EO21" i="13" s="1"/>
  <c r="EP21" i="13" s="1"/>
  <c r="EQ21" i="13" s="1"/>
  <c r="ER21" i="13" s="1"/>
  <c r="ES21" i="13" s="1"/>
  <c r="ET21" i="13" s="1"/>
  <c r="EU21" i="13" s="1"/>
  <c r="EV21" i="13" s="1"/>
  <c r="EW21" i="13" s="1"/>
  <c r="EX21" i="13" s="1"/>
  <c r="EY21" i="13" s="1"/>
  <c r="EZ21" i="13" s="1"/>
  <c r="FA21" i="13" s="1"/>
  <c r="FB21" i="13" s="1"/>
  <c r="FC21" i="13" s="1"/>
  <c r="FD21" i="13" s="1"/>
  <c r="FE21" i="13" s="1"/>
  <c r="FF21" i="13" s="1"/>
  <c r="FG21" i="13" s="1"/>
  <c r="FH21" i="13" s="1"/>
  <c r="FI21" i="13" s="1"/>
  <c r="FJ21" i="13" s="1"/>
  <c r="FK21" i="13" s="1"/>
  <c r="FL21" i="13" s="1"/>
  <c r="FM21" i="13" s="1"/>
  <c r="FN21" i="13" s="1"/>
  <c r="FO21" i="13" s="1"/>
  <c r="FP21" i="13" s="1"/>
  <c r="FQ21" i="13" s="1"/>
  <c r="FR21" i="13" s="1"/>
  <c r="FS21" i="13" s="1"/>
  <c r="FT21" i="13" s="1"/>
  <c r="FU21" i="13" s="1"/>
  <c r="FV21" i="13" s="1"/>
  <c r="FW21" i="13" s="1"/>
  <c r="FX21" i="13" s="1"/>
  <c r="FY21" i="13" s="1"/>
  <c r="FZ21" i="13" s="1"/>
  <c r="GA21" i="13" s="1"/>
  <c r="GB21" i="13" s="1"/>
  <c r="GC21" i="13" s="1"/>
  <c r="GD21" i="13" s="1"/>
  <c r="GE21" i="13" s="1"/>
  <c r="GF21" i="13" s="1"/>
  <c r="GG21" i="13" s="1"/>
  <c r="GH21" i="13" s="1"/>
  <c r="GI21" i="13" s="1"/>
  <c r="GJ21" i="13" s="1"/>
  <c r="GK21" i="13" s="1"/>
  <c r="GL21" i="13" s="1"/>
  <c r="GM21" i="13" s="1"/>
  <c r="GN21" i="13" s="1"/>
  <c r="GO21" i="13" s="1"/>
  <c r="GP21" i="13" s="1"/>
  <c r="GQ21" i="13" s="1"/>
  <c r="GR21" i="13" s="1"/>
  <c r="GS21" i="13" s="1"/>
  <c r="GT21" i="13" s="1"/>
  <c r="GU21" i="13" s="1"/>
  <c r="GV21" i="13" s="1"/>
  <c r="GW21" i="13" s="1"/>
  <c r="GX21" i="13" s="1"/>
  <c r="GY21" i="13" s="1"/>
  <c r="GZ21" i="13" s="1"/>
  <c r="HA21" i="13" s="1"/>
  <c r="HB21" i="13" s="1"/>
  <c r="HC21" i="13" s="1"/>
  <c r="HD21" i="13" s="1"/>
  <c r="HE21" i="13" s="1"/>
  <c r="HF21" i="13" s="1"/>
  <c r="HG21" i="13" s="1"/>
  <c r="HH21" i="13" s="1"/>
  <c r="HI21" i="13" s="1"/>
  <c r="HJ21" i="13" s="1"/>
  <c r="HK21" i="13" s="1"/>
  <c r="HL21" i="13" s="1"/>
  <c r="HM21" i="13" s="1"/>
  <c r="HN21" i="13" s="1"/>
  <c r="HO21" i="13" s="1"/>
  <c r="HP21" i="13" s="1"/>
  <c r="HQ21" i="13" s="1"/>
  <c r="HR21" i="13" s="1"/>
  <c r="HS21" i="13" s="1"/>
  <c r="HT21" i="13" s="1"/>
  <c r="HU21" i="13" s="1"/>
  <c r="HV21" i="13" s="1"/>
  <c r="HW21" i="13" s="1"/>
  <c r="HX21" i="13" s="1"/>
  <c r="HY21" i="13" s="1"/>
  <c r="HZ21" i="13" s="1"/>
  <c r="IA21" i="13" s="1"/>
  <c r="IB21" i="13" s="1"/>
  <c r="IC21" i="13" s="1"/>
  <c r="ID21" i="13" s="1"/>
  <c r="IE21" i="13" s="1"/>
  <c r="IF21" i="13" s="1"/>
  <c r="IG21" i="13" s="1"/>
  <c r="IH21" i="13" s="1"/>
  <c r="II21" i="13" s="1"/>
  <c r="IJ21" i="13" s="1"/>
  <c r="IK21" i="13" s="1"/>
  <c r="IL21" i="13" s="1"/>
  <c r="IM21" i="13" s="1"/>
  <c r="IN21" i="13" s="1"/>
  <c r="IO21" i="13" s="1"/>
  <c r="IP21" i="13" s="1"/>
  <c r="IQ21" i="13" s="1"/>
  <c r="IR21" i="13" s="1"/>
  <c r="IS21" i="13" s="1"/>
  <c r="IT21" i="13" s="1"/>
  <c r="C21" i="13" l="1"/>
</calcChain>
</file>

<file path=xl/sharedStrings.xml><?xml version="1.0" encoding="utf-8"?>
<sst xmlns="http://schemas.openxmlformats.org/spreadsheetml/2006/main" count="382" uniqueCount="286">
  <si>
    <t>m3/d</t>
  </si>
  <si>
    <t>Total</t>
  </si>
  <si>
    <t>RWSC3 housing</t>
  </si>
  <si>
    <t>Total2</t>
  </si>
  <si>
    <t>No.People</t>
  </si>
  <si>
    <t>Jan</t>
  </si>
  <si>
    <t>Feb</t>
  </si>
  <si>
    <t>Mar</t>
  </si>
  <si>
    <t>Apr</t>
  </si>
  <si>
    <t>Jul</t>
  </si>
  <si>
    <t>Aug</t>
  </si>
  <si>
    <t>Sep</t>
  </si>
  <si>
    <t>Oct</t>
  </si>
  <si>
    <t>Nov</t>
  </si>
  <si>
    <t>Average (m3/d)</t>
  </si>
  <si>
    <t>Total water demand</t>
  </si>
  <si>
    <t>Water consumption breakdown table for meter DWSC 123 RWSC123</t>
  </si>
  <si>
    <t>RIW</t>
  </si>
  <si>
    <t>Unit</t>
    <phoneticPr fontId="0" type="noConversion"/>
  </si>
  <si>
    <t xml:space="preserve">January </t>
    <phoneticPr fontId="0" type="noConversion"/>
  </si>
  <si>
    <t>March</t>
    <phoneticPr fontId="0" type="noConversion"/>
  </si>
  <si>
    <t>April</t>
    <phoneticPr fontId="0" type="noConversion"/>
  </si>
  <si>
    <t>July</t>
    <phoneticPr fontId="0" type="noConversion"/>
  </si>
  <si>
    <t>Aug</t>
    <phoneticPr fontId="0" type="noConversion"/>
  </si>
  <si>
    <t>Sep</t>
    <phoneticPr fontId="0" type="noConversion"/>
  </si>
  <si>
    <t>Oct</t>
    <phoneticPr fontId="0" type="noConversion"/>
  </si>
  <si>
    <t>Nov</t>
    <phoneticPr fontId="0" type="noConversion"/>
  </si>
  <si>
    <t>Rainwater</t>
  </si>
  <si>
    <t>m3/month</t>
  </si>
  <si>
    <t xml:space="preserve">Febrary </t>
    <phoneticPr fontId="0" type="noConversion"/>
  </si>
  <si>
    <t>Days</t>
    <phoneticPr fontId="0" type="noConversion"/>
  </si>
  <si>
    <t>DWPS</t>
  </si>
  <si>
    <t>DWSC1+2+3</t>
  </si>
  <si>
    <t>S1+2</t>
  </si>
  <si>
    <t>RWSC1+2+3</t>
  </si>
  <si>
    <t>RWPS</t>
  </si>
  <si>
    <t>Mean (annual)</t>
  </si>
  <si>
    <t>standard deviation</t>
  </si>
  <si>
    <t>Standard error</t>
  </si>
  <si>
    <t>Estimated rainwater per year</t>
  </si>
  <si>
    <t>Roof top area</t>
  </si>
  <si>
    <t>Monthly average Rainfall in Sep</t>
    <phoneticPr fontId="0" type="noConversion"/>
  </si>
  <si>
    <t>Total rainwater harvesting (Sep)</t>
    <phoneticPr fontId="0" type="noConversion"/>
  </si>
  <si>
    <t>Monthly average Rainfall in July</t>
    <phoneticPr fontId="0" type="noConversion"/>
  </si>
  <si>
    <t>Total rainwater harvesting (July)</t>
    <phoneticPr fontId="0" type="noConversion"/>
  </si>
  <si>
    <t>Monthly average Rainfall in June</t>
    <phoneticPr fontId="0" type="noConversion"/>
  </si>
  <si>
    <t>Total rainwater harvesting (June)</t>
    <phoneticPr fontId="0" type="noConversion"/>
  </si>
  <si>
    <t xml:space="preserve">Annual rainfall </t>
  </si>
  <si>
    <t>Sqm</t>
  </si>
  <si>
    <t>mm/Sqm</t>
    <phoneticPr fontId="0" type="noConversion"/>
  </si>
  <si>
    <t>m3/month</t>
    <phoneticPr fontId="0" type="noConversion"/>
  </si>
  <si>
    <t>mm/Sqm/year</t>
  </si>
  <si>
    <t>m3/year</t>
  </si>
  <si>
    <t>Dining</t>
  </si>
  <si>
    <t>Academic (Near STP)</t>
  </si>
  <si>
    <t xml:space="preserve">Hostel </t>
  </si>
  <si>
    <t>Housing</t>
  </si>
  <si>
    <t>Notes:</t>
    <phoneticPr fontId="0" type="noConversion"/>
  </si>
  <si>
    <t>Formula used for estimatation:STORAGE = ROOF TOP AREA * RAINFALL (MM) * 0.8 (Runoff efficiency for concrete) (Zhu, 2015)</t>
  </si>
  <si>
    <t>Total water = ROOF AREA * RAINFALL(mm) * 0.8(EFFICIENCY)</t>
    <phoneticPr fontId="0" type="noConversion"/>
  </si>
  <si>
    <t>Gravity drive, no pumping</t>
    <phoneticPr fontId="0" type="noConversion"/>
  </si>
  <si>
    <t>No</t>
    <phoneticPr fontId="0" type="noConversion"/>
  </si>
  <si>
    <t>May (Summer vacation)</t>
  </si>
  <si>
    <t>Jun (Summer vacation)</t>
  </si>
  <si>
    <t>Dec (Winter vacation)</t>
  </si>
  <si>
    <t xml:space="preserve">Average outflow of DWTP (AT) </t>
  </si>
  <si>
    <t>Total energy used in DWTP</t>
  </si>
  <si>
    <t>kWh/month</t>
  </si>
  <si>
    <t>Average power used in DWTP for treating (DWTP)</t>
  </si>
  <si>
    <t>kWh/ m3</t>
  </si>
  <si>
    <t>Average Wastewater collected (influent of WWTP S1,2)</t>
  </si>
  <si>
    <t>Total energy used in WWTP</t>
  </si>
  <si>
    <t>Average power used in WWTP  for treating</t>
  </si>
  <si>
    <t>Pumping energy used in PW supply system</t>
  </si>
  <si>
    <t>Drinking Water Pumping Station (DWPS)</t>
  </si>
  <si>
    <t>E-area coding</t>
  </si>
  <si>
    <t>EADW1</t>
  </si>
  <si>
    <t>EAWW2</t>
  </si>
  <si>
    <t>EADW2</t>
  </si>
  <si>
    <t>Average power Drinking Water Pumping Station (DWPS)</t>
  </si>
  <si>
    <t>Pumping energy used in wastewater transportion to WWTP</t>
  </si>
  <si>
    <t>Average reclaimed water use (RWPS)</t>
  </si>
  <si>
    <t>Average power used for wastewater S1+S2</t>
  </si>
  <si>
    <t>Wastewater conveyance (EAWW1)</t>
  </si>
  <si>
    <t>DWTP (EADW1)</t>
  </si>
  <si>
    <t>WWTP (EAWW2)</t>
  </si>
  <si>
    <t>PW distribution (EADW2)</t>
  </si>
  <si>
    <t>PW supplying (EARW2+EADW3)</t>
  </si>
  <si>
    <t>Average power for WWTP-Endpoint (RWPS)</t>
  </si>
  <si>
    <t>EARW2+EADW3</t>
  </si>
  <si>
    <t>EAWW1</t>
  </si>
  <si>
    <t>EARW1</t>
  </si>
  <si>
    <t>GBP(£)</t>
  </si>
  <si>
    <t>Rainwater works in total (pipe + construction)</t>
  </si>
  <si>
    <t>Pumping station</t>
  </si>
  <si>
    <t>DWTP</t>
  </si>
  <si>
    <t>WWTP</t>
  </si>
  <si>
    <t>WWPS</t>
  </si>
  <si>
    <t>Construction costs (capital costs)</t>
  </si>
  <si>
    <t>Operational costs</t>
  </si>
  <si>
    <t>Category</t>
  </si>
  <si>
    <t>Construction name</t>
  </si>
  <si>
    <t>Water treatment plants</t>
  </si>
  <si>
    <t>Water service centre (WSC)</t>
  </si>
  <si>
    <t>Pipe work</t>
  </si>
  <si>
    <t>Pipe network for PW</t>
  </si>
  <si>
    <t>Pipe network for RW</t>
  </si>
  <si>
    <t>Rainwater work</t>
  </si>
  <si>
    <t>Operater</t>
    <phoneticPr fontId="1" type="noConversion"/>
  </si>
  <si>
    <t>Helper</t>
    <phoneticPr fontId="1" type="noConversion"/>
  </si>
  <si>
    <t>Students Hostel DWSC2</t>
  </si>
  <si>
    <t>Academic Housing DWSC3</t>
  </si>
  <si>
    <t>RWSC1 academic area</t>
  </si>
  <si>
    <t>Teaching buildings DWSC1 (academic area)</t>
  </si>
  <si>
    <t>RWSC2 hostel students</t>
  </si>
  <si>
    <t>Power Generation Total</t>
  </si>
  <si>
    <t>Month</t>
  </si>
  <si>
    <t>Torrent Power</t>
  </si>
  <si>
    <t>Solar Power</t>
  </si>
  <si>
    <t>KWH</t>
  </si>
  <si>
    <t>%</t>
  </si>
  <si>
    <t>Monthly average</t>
  </si>
  <si>
    <t>l/(pd)</t>
  </si>
  <si>
    <t>Average potable water consumption per person (l/(pd))</t>
  </si>
  <si>
    <t>Average potable water consumption for toilet flushing   (l/(pd))</t>
  </si>
  <si>
    <t>% of total potable water consumptionused for toilet flushing</t>
  </si>
  <si>
    <t>Average potable water consumption for other uses   (l/(pd))</t>
  </si>
  <si>
    <t>Domestic potable water use for washing, cooking, etc</t>
  </si>
  <si>
    <t>Domestic potable water use for toilet flushing</t>
  </si>
  <si>
    <t>Teaching and laboratory potable use</t>
  </si>
  <si>
    <t>Teaching and laboratory potable use for toilet flushing</t>
  </si>
  <si>
    <t>Ground maintenance and cleaning reclaimed water use</t>
  </si>
  <si>
    <t xml:space="preserve">Average outflow of DWPS (DWPS) </t>
  </si>
  <si>
    <t>Pumping for reclaimed water distribution</t>
  </si>
  <si>
    <t>CO2 equivalent (g/m3)</t>
  </si>
  <si>
    <t>Total water supply and wastewater treatment</t>
  </si>
  <si>
    <t>Total electricity</t>
  </si>
  <si>
    <t>Average power per m3 of water demand</t>
  </si>
  <si>
    <t>Water treatment plant</t>
  </si>
  <si>
    <t>PAC (kg/d)</t>
  </si>
  <si>
    <t>NaClO (kg/d)</t>
  </si>
  <si>
    <r>
      <t>Related costs for treating water (R</t>
    </r>
    <r>
      <rPr>
        <i/>
        <vertAlign val="subscript"/>
        <sz val="12"/>
        <color theme="1"/>
        <rFont val="Times New Roman"/>
        <family val="1"/>
      </rPr>
      <t>s</t>
    </r>
    <r>
      <rPr>
        <i/>
        <sz val="12"/>
        <color theme="1"/>
        <rFont val="Times New Roman"/>
        <family val="1"/>
      </rPr>
      <t>/d)</t>
    </r>
  </si>
  <si>
    <t>Costs per day (£/d)</t>
  </si>
  <si>
    <r>
      <t>Related costs for treating water (£/m</t>
    </r>
    <r>
      <rPr>
        <i/>
        <vertAlign val="superscript"/>
        <sz val="12"/>
        <color theme="1"/>
        <rFont val="Times New Roman"/>
        <family val="1"/>
      </rPr>
      <t>3</t>
    </r>
    <r>
      <rPr>
        <i/>
        <sz val="12"/>
        <color theme="1"/>
        <rFont val="Times New Roman"/>
        <family val="1"/>
      </rPr>
      <t>)</t>
    </r>
  </si>
  <si>
    <r>
      <t>Unit chemical used (g/m</t>
    </r>
    <r>
      <rPr>
        <i/>
        <vertAlign val="superscript"/>
        <sz val="12"/>
        <color theme="1"/>
        <rFont val="Times New Roman"/>
        <family val="1"/>
      </rPr>
      <t>3</t>
    </r>
    <r>
      <rPr>
        <i/>
        <sz val="12"/>
        <color theme="1"/>
        <rFont val="Times New Roman"/>
        <family val="1"/>
      </rPr>
      <t>)</t>
    </r>
  </si>
  <si>
    <t>Electricity (Rs/kWh)</t>
  </si>
  <si>
    <t>Rs/£</t>
  </si>
  <si>
    <t xml:space="preserve">Average outflow of DWSC (which also supplies toilets via RWSC) </t>
  </si>
  <si>
    <t>% of Capital costs</t>
  </si>
  <si>
    <t>Construction and operational expense information for water-related facilities</t>
  </si>
  <si>
    <t>UV light costs £/d</t>
  </si>
  <si>
    <t>£</t>
  </si>
  <si>
    <t>Year</t>
  </si>
  <si>
    <t>Meter readings in 2018</t>
  </si>
  <si>
    <t>% of total demand (June)</t>
  </si>
  <si>
    <t>% of total demand (July)</t>
  </si>
  <si>
    <t>% of total demand (Sept)</t>
  </si>
  <si>
    <t>River water</t>
  </si>
  <si>
    <t>Reclaimed water</t>
  </si>
  <si>
    <t>Water resources</t>
  </si>
  <si>
    <t>Water resources use, assuming S1+S2 Oct = avg(Sept,Nov)</t>
  </si>
  <si>
    <t>Annual volume (m3, for missing data, assuming Oct = avg(Sept,Nov)</t>
  </si>
  <si>
    <t>% of total</t>
  </si>
  <si>
    <t>% of total demand (annual</t>
  </si>
  <si>
    <t>Rainwater harvesting system started collecting from June 2018</t>
  </si>
  <si>
    <t>Costs</t>
  </si>
  <si>
    <t>PAC</t>
  </si>
  <si>
    <t>NaClO</t>
  </si>
  <si>
    <t>Rs/kg</t>
  </si>
  <si>
    <t>Average water demand (AT+S1+S2)</t>
  </si>
  <si>
    <t>Carbon intensity grid (g CO2eq/kWh)</t>
  </si>
  <si>
    <t>% Photovoltaic electricity</t>
  </si>
  <si>
    <t>Torrent</t>
  </si>
  <si>
    <t>Solar</t>
  </si>
  <si>
    <t>Summary for Electicity Generated</t>
  </si>
  <si>
    <t>Interest Bank of India</t>
  </si>
  <si>
    <t>Inflation India 2018</t>
  </si>
  <si>
    <t>Salary (Rs/day)</t>
  </si>
  <si>
    <t>WSC</t>
  </si>
  <si>
    <t>STP</t>
  </si>
  <si>
    <t>Institutional carbon intensity</t>
  </si>
  <si>
    <t>% of total attributed to rainwater harvesting and wastewater reclamation (assuming RWPS costs = DWPS costs)</t>
  </si>
  <si>
    <t>June (Summer vacation)</t>
  </si>
  <si>
    <t>Reclaimed water as % of potable water</t>
  </si>
  <si>
    <t>True Potable demand</t>
  </si>
  <si>
    <t>True Nonpotable demand</t>
  </si>
  <si>
    <t>RW</t>
  </si>
  <si>
    <t>Average nonpotable water consumption per person (l/(pd))</t>
  </si>
  <si>
    <t>% of total consumption</t>
  </si>
  <si>
    <t>UV light electricity kWh/d</t>
  </si>
  <si>
    <t>UV light electricity kWh/m3</t>
  </si>
  <si>
    <t>Chemicals (£/year)</t>
  </si>
  <si>
    <t>Electricity (£/year)</t>
  </si>
  <si>
    <t>Staff salary (£/year)</t>
  </si>
  <si>
    <t>River water price (£/year)</t>
  </si>
  <si>
    <t>Total costs</t>
  </si>
  <si>
    <t>Reduction between DWSC1+2+3 and S1+S2</t>
  </si>
  <si>
    <t>Conventional</t>
  </si>
  <si>
    <t>River water abstraction volume (m3/year)</t>
  </si>
  <si>
    <t>All water source from river and treated to potable standards, wastewater discharged to river without disinfection</t>
  </si>
  <si>
    <t>Electricity (kWh/year)</t>
  </si>
  <si>
    <t>CO2 emissions (t CO2 eq/year)</t>
  </si>
  <si>
    <t>Chemical consumption (t/year)</t>
  </si>
  <si>
    <t>Capital costs (£)</t>
  </si>
  <si>
    <t>Operational costs (£/year)</t>
  </si>
  <si>
    <t>River water charge (Rs/m3)</t>
  </si>
  <si>
    <t>Scenario</t>
  </si>
  <si>
    <t>Rainwater is harvested and treated to potable standard</t>
  </si>
  <si>
    <t>Difference to conventional</t>
  </si>
  <si>
    <t>% difference to conventional</t>
  </si>
  <si>
    <t>With rainwater harvesting only</t>
  </si>
  <si>
    <t>Current system</t>
  </si>
  <si>
    <t>Rainwater is harvested and treated to potable standard, reclaimed water is used for ground maintenance</t>
  </si>
  <si>
    <t>Reclaimed water is used for ground maintenance</t>
  </si>
  <si>
    <t>Estimated academic housing domestic water purification electricity demand</t>
  </si>
  <si>
    <t>Payback period (years)</t>
  </si>
  <si>
    <t>% difference to current</t>
  </si>
  <si>
    <t>Difference to current</t>
  </si>
  <si>
    <t>Vext Case study (m3/year)</t>
  </si>
  <si>
    <t>Vrwh Case study (m3)</t>
  </si>
  <si>
    <t>Vrcw Case study (m3/year)</t>
  </si>
  <si>
    <t>Edw1 Case study (kWh/year)</t>
  </si>
  <si>
    <t>Edw2 Case study (kWh/year)</t>
  </si>
  <si>
    <t>Edw3+rcw2 Case study (kWh/year)</t>
  </si>
  <si>
    <t>Eww1 Case study (kWh/year)</t>
  </si>
  <si>
    <t>Eww2 Case study (kWh/year)</t>
  </si>
  <si>
    <t>Ercw1 Case study (kWh/year)</t>
  </si>
  <si>
    <t>EUV Case study (kWh/year)</t>
  </si>
  <si>
    <t>Chemdwt Case study (t/year)</t>
  </si>
  <si>
    <t>Chemwwt Case study (t/year)</t>
  </si>
  <si>
    <t>Pchem,dwt (£/t)</t>
  </si>
  <si>
    <t>Pchem,wwt (£/t)</t>
  </si>
  <si>
    <t>CCost,dwt (£)</t>
  </si>
  <si>
    <t>fE, grid</t>
  </si>
  <si>
    <t>PE (£/kWh)</t>
  </si>
  <si>
    <t>Carbon intensity (gCO2eq/kWh)</t>
  </si>
  <si>
    <t>CCost,dwps Case Study (£)</t>
  </si>
  <si>
    <t>CCost,dwsc Case Study (£)</t>
  </si>
  <si>
    <t>CCost,dwpipes Case Study (£)</t>
  </si>
  <si>
    <t>CCost,rcwsc Case Study (£)</t>
  </si>
  <si>
    <t>CCost,rcwpipes Case study (£)</t>
  </si>
  <si>
    <t>Ccost,rwh Case Study (£)</t>
  </si>
  <si>
    <t>CCost,wwps Case Study (£)</t>
  </si>
  <si>
    <t>CCost,wwt Case Study (£)</t>
  </si>
  <si>
    <t>Pw,ext (£/m3)</t>
  </si>
  <si>
    <t>Ocost.staff Case Study (£/year)</t>
  </si>
  <si>
    <t>Net present value</t>
  </si>
  <si>
    <t>NPV</t>
  </si>
  <si>
    <t>Price inflation</t>
  </si>
  <si>
    <t>Bank of India interest</t>
  </si>
  <si>
    <t>With reclaimed water for ground maintenance only</t>
  </si>
  <si>
    <t>Rainwater is harvested and treated to potable standard, reclaimed water is 100% of potable water, and used for both ground maintenance and toilet flushing</t>
  </si>
  <si>
    <t>Fraction of water lost</t>
  </si>
  <si>
    <t>Input values</t>
  </si>
  <si>
    <t>Current system with no water loss, assuming current loss is mainly potable water</t>
  </si>
  <si>
    <t>Current system with no water loss, assuming current loss is mainly wastewater</t>
  </si>
  <si>
    <t>Current system assuming drought tolerant landscaping</t>
  </si>
  <si>
    <t>Vgroundclean Case study (m3/year)</t>
  </si>
  <si>
    <t>Water relative to total</t>
  </si>
  <si>
    <t>&gt;250</t>
  </si>
  <si>
    <t>Interpolated from nearest months</t>
  </si>
  <si>
    <t>Relative to Indian median</t>
  </si>
  <si>
    <t>Total innovative</t>
  </si>
  <si>
    <t>total electricity demand per person and day (kWh/pd)</t>
  </si>
  <si>
    <t>kWh/year</t>
  </si>
  <si>
    <t>relative to total</t>
  </si>
  <si>
    <t>Total reclamation</t>
  </si>
  <si>
    <t>Gap between DWSC1+2+3 and S1+S2</t>
  </si>
  <si>
    <t>Monthly average Rainfall in Aug</t>
  </si>
  <si>
    <t>Total rainwater harvesting (Aug)</t>
  </si>
  <si>
    <t>% of total demand (Aug)</t>
  </si>
  <si>
    <t>% of potable demand</t>
  </si>
  <si>
    <t>Rainfall calculation 2018</t>
  </si>
  <si>
    <t>RCW conveyance (EARCW1)</t>
  </si>
  <si>
    <t>Costs (Rs)</t>
  </si>
  <si>
    <t>RWSC</t>
  </si>
  <si>
    <t>m3 per year</t>
  </si>
  <si>
    <t>Total operations</t>
  </si>
  <si>
    <t>Annual true potable</t>
  </si>
  <si>
    <t>Annual toilets</t>
  </si>
  <si>
    <t>Vtoilets Case study (m3/year)</t>
  </si>
  <si>
    <t>incl. in WWPS</t>
  </si>
  <si>
    <t>RWPS 9 months with full occupancy</t>
  </si>
  <si>
    <t>Cleaning contribution to gap</t>
  </si>
  <si>
    <t>Average power used in potable water supply system(DWSC)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</si>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</sst>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£&quot;#,##0.00;[Red]\-&quot;£&quot;#,##0.00"/>
    <numFmt numFmtId="43" formatCode="_-* #,##0.00_-;\-* #,##0.00_-;_-* &quot;-&quot;??_-;_-@_-"/>
    <numFmt numFmtId="164" formatCode="0.0"/>
    <numFmt numFmtId="165" formatCode="0.0%"/>
    <numFmt numFmtId="166" formatCode="0.00_ "/>
    <numFmt numFmtId="167" formatCode="#,##0_ ;[Red]\-#,##0\ "/>
    <numFmt numFmtId="168" formatCode="0.0000"/>
    <numFmt numFmtId="169" formatCode="0.000"/>
  </numFmts>
  <fonts count="28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3"/>
      <charset val="134"/>
      <scheme val="minor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3"/>
      <charset val="134"/>
      <scheme val="minor"/>
    </font>
    <font>
      <sz val="11"/>
      <color theme="1"/>
      <name val="Book Antiqua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2DBDB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2" xfId="0" applyNumberFormat="1" applyBorder="1"/>
    <xf numFmtId="164" fontId="3" fillId="0" borderId="0" xfId="0" applyNumberFormat="1" applyFont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1" fontId="0" fillId="0" borderId="0" xfId="0" applyNumberFormat="1"/>
    <xf numFmtId="0" fontId="0" fillId="0" borderId="0" xfId="0" applyFill="1"/>
    <xf numFmtId="0" fontId="9" fillId="0" borderId="0" xfId="0" applyFont="1" applyFill="1" applyAlignment="1">
      <alignment wrapText="1"/>
    </xf>
    <xf numFmtId="164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NumberFormat="1" applyFill="1"/>
    <xf numFmtId="165" fontId="0" fillId="0" borderId="0" xfId="0" applyNumberFormat="1" applyFill="1" applyBorder="1"/>
    <xf numFmtId="165" fontId="0" fillId="0" borderId="0" xfId="0" applyNumberFormat="1" applyFill="1"/>
    <xf numFmtId="0" fontId="15" fillId="0" borderId="0" xfId="0" applyFont="1"/>
    <xf numFmtId="0" fontId="15" fillId="0" borderId="0" xfId="0" applyFont="1" applyAlignment="1"/>
    <xf numFmtId="0" fontId="16" fillId="0" borderId="0" xfId="0" applyFont="1" applyAlignment="1"/>
    <xf numFmtId="0" fontId="0" fillId="0" borderId="0" xfId="0" applyFont="1" applyAlignment="1">
      <alignment horizontal="center" vertical="center" wrapText="1"/>
    </xf>
    <xf numFmtId="1" fontId="0" fillId="0" borderId="0" xfId="0" applyNumberFormat="1" applyFill="1"/>
    <xf numFmtId="10" fontId="0" fillId="0" borderId="0" xfId="0" applyNumberFormat="1"/>
    <xf numFmtId="0" fontId="20" fillId="0" borderId="17" xfId="0" applyFont="1" applyBorder="1" applyAlignment="1">
      <alignment vertical="center" wrapText="1"/>
    </xf>
    <xf numFmtId="0" fontId="21" fillId="0" borderId="19" xfId="0" applyFont="1" applyBorder="1" applyAlignment="1">
      <alignment horizontal="right" vertical="center" wrapText="1"/>
    </xf>
    <xf numFmtId="0" fontId="21" fillId="0" borderId="20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1" fillId="0" borderId="22" xfId="0" applyFont="1" applyBorder="1" applyAlignment="1">
      <alignment horizontal="right" vertical="center" wrapText="1"/>
    </xf>
    <xf numFmtId="2" fontId="20" fillId="0" borderId="17" xfId="0" applyNumberFormat="1" applyFont="1" applyBorder="1" applyAlignment="1">
      <alignment vertical="center" wrapText="1"/>
    </xf>
    <xf numFmtId="164" fontId="20" fillId="0" borderId="17" xfId="0" applyNumberFormat="1" applyFont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1" fontId="0" fillId="0" borderId="0" xfId="0" applyNumberForma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4" fontId="0" fillId="0" borderId="0" xfId="0" applyNumberFormat="1" applyFont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18" fillId="0" borderId="5" xfId="0" applyFont="1" applyFill="1" applyBorder="1" applyAlignment="1">
      <alignment horizontal="center" vertical="center" wrapText="1"/>
    </xf>
    <xf numFmtId="9" fontId="0" fillId="0" borderId="0" xfId="3" applyFont="1"/>
    <xf numFmtId="0" fontId="2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2" fontId="3" fillId="0" borderId="0" xfId="4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10" fontId="0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1" fontId="0" fillId="0" borderId="0" xfId="0" applyNumberFormat="1" applyFont="1" applyFill="1" applyBorder="1" applyAlignment="1">
      <alignment horizontal="right" vertical="center" wrapText="1"/>
    </xf>
    <xf numFmtId="10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1" fontId="0" fillId="0" borderId="0" xfId="0" applyNumberFormat="1" applyFont="1" applyFill="1" applyAlignment="1">
      <alignment wrapText="1"/>
    </xf>
    <xf numFmtId="1" fontId="0" fillId="0" borderId="0" xfId="0" applyNumberFormat="1" applyFont="1" applyAlignment="1">
      <alignment wrapText="1"/>
    </xf>
    <xf numFmtId="8" fontId="0" fillId="0" borderId="0" xfId="0" applyNumberFormat="1" applyFont="1" applyFill="1" applyBorder="1" applyAlignment="1">
      <alignment wrapText="1"/>
    </xf>
    <xf numFmtId="167" fontId="0" fillId="0" borderId="0" xfId="0" applyNumberFormat="1" applyFont="1" applyFill="1" applyBorder="1" applyAlignment="1">
      <alignment wrapText="1"/>
    </xf>
    <xf numFmtId="164" fontId="0" fillId="0" borderId="0" xfId="0" applyNumberFormat="1" applyFill="1" applyAlignment="1">
      <alignment wrapText="1"/>
    </xf>
    <xf numFmtId="164" fontId="3" fillId="0" borderId="0" xfId="0" applyNumberFormat="1" applyFont="1" applyFill="1"/>
    <xf numFmtId="164" fontId="0" fillId="0" borderId="0" xfId="0" applyNumberFormat="1" applyFill="1"/>
    <xf numFmtId="2" fontId="0" fillId="0" borderId="0" xfId="0" applyNumberFormat="1" applyFont="1" applyFill="1" applyBorder="1" applyAlignment="1">
      <alignment horizontal="left" vertical="center"/>
    </xf>
    <xf numFmtId="168" fontId="0" fillId="0" borderId="0" xfId="0" applyNumberFormat="1" applyFont="1" applyFill="1" applyAlignment="1">
      <alignment wrapText="1"/>
    </xf>
    <xf numFmtId="1" fontId="3" fillId="0" borderId="0" xfId="0" applyNumberFormat="1" applyFont="1" applyFill="1"/>
    <xf numFmtId="0" fontId="0" fillId="0" borderId="0" xfId="0" applyNumberFormat="1" applyFont="1" applyFill="1" applyAlignment="1">
      <alignment horizontal="left" vertical="top" wrapText="1"/>
    </xf>
    <xf numFmtId="164" fontId="0" fillId="0" borderId="0" xfId="0" applyNumberFormat="1" applyFont="1" applyFill="1" applyAlignment="1">
      <alignment horizontal="left" vertical="top" wrapText="1"/>
    </xf>
    <xf numFmtId="1" fontId="0" fillId="0" borderId="0" xfId="0" applyNumberFormat="1" applyFont="1"/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5" borderId="8" xfId="1" applyFont="1" applyFill="1" applyBorder="1" applyAlignment="1">
      <alignment horizontal="center" vertical="center" wrapText="1"/>
    </xf>
    <xf numFmtId="0" fontId="26" fillId="5" borderId="8" xfId="2" applyFont="1" applyFill="1" applyBorder="1" applyAlignment="1">
      <alignment horizontal="center" vertical="center" wrapText="1"/>
    </xf>
    <xf numFmtId="0" fontId="25" fillId="5" borderId="8" xfId="2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5" fillId="5" borderId="7" xfId="2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/>
    </xf>
    <xf numFmtId="2" fontId="25" fillId="0" borderId="7" xfId="0" applyNumberFormat="1" applyFont="1" applyBorder="1" applyAlignment="1">
      <alignment horizontal="center" vertical="center"/>
    </xf>
    <xf numFmtId="2" fontId="26" fillId="8" borderId="7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wrapText="1"/>
    </xf>
    <xf numFmtId="9" fontId="0" fillId="0" borderId="0" xfId="0" applyNumberFormat="1" applyFont="1" applyFill="1" applyAlignment="1">
      <alignment wrapText="1"/>
    </xf>
    <xf numFmtId="1" fontId="9" fillId="0" borderId="0" xfId="0" applyNumberFormat="1" applyFont="1" applyFill="1" applyAlignment="1">
      <alignment wrapText="1"/>
    </xf>
    <xf numFmtId="1" fontId="0" fillId="0" borderId="0" xfId="0" applyNumberFormat="1" applyAlignment="1">
      <alignment wrapText="1"/>
    </xf>
    <xf numFmtId="169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" fontId="0" fillId="7" borderId="0" xfId="0" applyNumberFormat="1" applyFill="1"/>
    <xf numFmtId="0" fontId="4" fillId="7" borderId="8" xfId="0" applyFont="1" applyFill="1" applyBorder="1"/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right" wrapText="1"/>
    </xf>
    <xf numFmtId="0" fontId="6" fillId="0" borderId="7" xfId="0" applyFont="1" applyFill="1" applyBorder="1"/>
    <xf numFmtId="0" fontId="4" fillId="0" borderId="14" xfId="0" applyFont="1" applyFill="1" applyBorder="1"/>
    <xf numFmtId="0" fontId="4" fillId="0" borderId="0" xfId="0" applyFont="1" applyFill="1"/>
    <xf numFmtId="0" fontId="4" fillId="0" borderId="7" xfId="0" applyFont="1" applyFill="1" applyBorder="1" applyAlignment="1">
      <alignment wrapText="1"/>
    </xf>
    <xf numFmtId="2" fontId="4" fillId="0" borderId="7" xfId="0" applyNumberFormat="1" applyFont="1" applyFill="1" applyBorder="1"/>
    <xf numFmtId="2" fontId="4" fillId="0" borderId="14" xfId="0" applyNumberFormat="1" applyFont="1" applyFill="1" applyBorder="1"/>
    <xf numFmtId="0" fontId="0" fillId="0" borderId="7" xfId="0" applyFill="1" applyBorder="1"/>
    <xf numFmtId="9" fontId="0" fillId="0" borderId="0" xfId="3" applyFont="1" applyFill="1"/>
    <xf numFmtId="0" fontId="0" fillId="7" borderId="0" xfId="0" applyFill="1"/>
    <xf numFmtId="0" fontId="25" fillId="0" borderId="4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/>
    </xf>
    <xf numFmtId="2" fontId="26" fillId="6" borderId="7" xfId="0" applyNumberFormat="1" applyFont="1" applyFill="1" applyBorder="1" applyAlignment="1">
      <alignment horizontal="center" vertical="center"/>
    </xf>
    <xf numFmtId="1" fontId="26" fillId="0" borderId="7" xfId="0" applyNumberFormat="1" applyFont="1" applyBorder="1" applyAlignment="1">
      <alignment horizontal="center" vertical="center" wrapText="1"/>
    </xf>
    <xf numFmtId="1" fontId="26" fillId="0" borderId="7" xfId="0" applyNumberFormat="1" applyFont="1" applyBorder="1" applyAlignment="1">
      <alignment horizontal="center" vertical="center"/>
    </xf>
    <xf numFmtId="1" fontId="26" fillId="4" borderId="7" xfId="0" applyNumberFormat="1" applyFont="1" applyFill="1" applyBorder="1" applyAlignment="1">
      <alignment horizontal="center" vertical="center" wrapText="1"/>
    </xf>
    <xf numFmtId="1" fontId="26" fillId="6" borderId="7" xfId="0" applyNumberFormat="1" applyFon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horizontal="center" vertical="center"/>
    </xf>
    <xf numFmtId="1" fontId="25" fillId="4" borderId="7" xfId="0" applyNumberFormat="1" applyFont="1" applyFill="1" applyBorder="1" applyAlignment="1">
      <alignment horizontal="center" vertical="center" wrapText="1"/>
    </xf>
    <xf numFmtId="1" fontId="25" fillId="4" borderId="7" xfId="0" applyNumberFormat="1" applyFont="1" applyFill="1" applyBorder="1" applyAlignment="1">
      <alignment horizontal="center" vertical="center"/>
    </xf>
    <xf numFmtId="1" fontId="26" fillId="4" borderId="7" xfId="0" applyNumberFormat="1" applyFont="1" applyFill="1" applyBorder="1" applyAlignment="1">
      <alignment horizontal="center" vertical="center"/>
    </xf>
    <xf numFmtId="1" fontId="26" fillId="7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/>
    <xf numFmtId="2" fontId="0" fillId="0" borderId="7" xfId="0" applyNumberFormat="1" applyFont="1" applyBorder="1"/>
    <xf numFmtId="1" fontId="26" fillId="0" borderId="7" xfId="0" applyNumberFormat="1" applyFont="1" applyFill="1" applyBorder="1" applyAlignment="1">
      <alignment horizontal="center" vertical="center"/>
    </xf>
    <xf numFmtId="168" fontId="0" fillId="0" borderId="0" xfId="0" applyNumberFormat="1"/>
    <xf numFmtId="3" fontId="0" fillId="0" borderId="0" xfId="0" applyNumberFormat="1" applyFill="1" applyAlignment="1">
      <alignment horizontal="left" vertical="center" wrapText="1"/>
    </xf>
    <xf numFmtId="2" fontId="0" fillId="0" borderId="0" xfId="0" applyNumberFormat="1"/>
    <xf numFmtId="2" fontId="0" fillId="0" borderId="0" xfId="0" applyNumberFormat="1" applyFill="1"/>
    <xf numFmtId="0" fontId="18" fillId="0" borderId="7" xfId="0" applyFont="1" applyFill="1" applyBorder="1" applyAlignment="1">
      <alignment horizontal="center" vertical="center" wrapText="1"/>
    </xf>
    <xf numFmtId="9" fontId="0" fillId="0" borderId="0" xfId="0" applyNumberFormat="1" applyFill="1"/>
    <xf numFmtId="9" fontId="3" fillId="0" borderId="0" xfId="0" applyNumberFormat="1" applyFont="1" applyFill="1"/>
    <xf numFmtId="9" fontId="0" fillId="0" borderId="3" xfId="0" applyNumberFormat="1" applyBorder="1"/>
    <xf numFmtId="2" fontId="0" fillId="0" borderId="0" xfId="0" applyNumberFormat="1" applyFont="1" applyFill="1" applyAlignment="1">
      <alignment horizontal="center" vertical="top" wrapText="1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7" fontId="13" fillId="0" borderId="7" xfId="0" applyNumberFormat="1" applyFont="1" applyFill="1" applyBorder="1" applyAlignment="1">
      <alignment horizontal="center" vertical="center"/>
    </xf>
    <xf numFmtId="9" fontId="13" fillId="0" borderId="7" xfId="3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/>
    <xf numFmtId="1" fontId="15" fillId="0" borderId="0" xfId="0" applyNumberFormat="1" applyFont="1" applyFill="1"/>
    <xf numFmtId="10" fontId="15" fillId="0" borderId="0" xfId="0" applyNumberFormat="1" applyFont="1" applyFill="1"/>
    <xf numFmtId="10" fontId="0" fillId="0" borderId="0" xfId="0" applyNumberFormat="1" applyFont="1" applyAlignment="1">
      <alignment wrapText="1"/>
    </xf>
    <xf numFmtId="9" fontId="0" fillId="0" borderId="0" xfId="0" applyNumberFormat="1" applyFont="1"/>
    <xf numFmtId="0" fontId="12" fillId="9" borderId="11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 vertical="center" wrapText="1"/>
    </xf>
    <xf numFmtId="10" fontId="0" fillId="0" borderId="7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166" fontId="0" fillId="0" borderId="9" xfId="0" applyNumberFormat="1" applyFont="1" applyFill="1" applyBorder="1" applyAlignment="1">
      <alignment horizontal="center" vertical="center" wrapText="1"/>
    </xf>
    <xf numFmtId="166" fontId="0" fillId="0" borderId="10" xfId="0" applyNumberFormat="1" applyFont="1" applyFill="1" applyBorder="1" applyAlignment="1">
      <alignment horizontal="center" vertic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26" fillId="0" borderId="1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</cellXfs>
  <cellStyles count="5">
    <cellStyle name="Comma" xfId="4" builtinId="3"/>
    <cellStyle name="Good" xfId="1" builtinId="26"/>
    <cellStyle name="Input" xfId="2" builtinId="20"/>
    <cellStyle name="Normal" xfId="0" builtinId="0"/>
    <cellStyle name="Percent" xfId="3" builtinId="5"/>
  </cellStyles>
  <dxfs count="12"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6965889908619E-2"/>
          <c:y val="0.12000768360332396"/>
          <c:w val="0.41215087118492794"/>
          <c:h val="0.647995637696177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97-4E5C-BD5C-EC536FF20A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97-4E5C-BD5C-EC536FF20A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97-4E5C-BD5C-EC536FF20A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97-4E5C-BD5C-EC536FF20A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A97-4E5C-BD5C-EC536FF20A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Breakdownwaterdemand!$B$20:$F$20</c:f>
              <c:strCache>
                <c:ptCount val="5"/>
                <c:pt idx="0">
                  <c:v>Domestic potable water use for washing, cooking, etc</c:v>
                </c:pt>
                <c:pt idx="1">
                  <c:v>Domestic potable water use for toilet flushing</c:v>
                </c:pt>
                <c:pt idx="2">
                  <c:v>Teaching and laboratory potable use</c:v>
                </c:pt>
                <c:pt idx="3">
                  <c:v>Teaching and laboratory potable use for toilet flushing</c:v>
                </c:pt>
                <c:pt idx="4">
                  <c:v>Ground maintenance and cleaning reclaimed water use</c:v>
                </c:pt>
              </c:strCache>
            </c:strRef>
          </c:cat>
          <c:val>
            <c:numRef>
              <c:f>Breakdownwaterdemand!$B$24:$F$24</c:f>
              <c:numCache>
                <c:formatCode>0%</c:formatCode>
                <c:ptCount val="5"/>
                <c:pt idx="0">
                  <c:v>0.29942525528709341</c:v>
                </c:pt>
                <c:pt idx="1">
                  <c:v>0.15194464594609675</c:v>
                </c:pt>
                <c:pt idx="2">
                  <c:v>9.497237877350595E-2</c:v>
                </c:pt>
                <c:pt idx="3">
                  <c:v>8.7327716087271912E-2</c:v>
                </c:pt>
                <c:pt idx="4">
                  <c:v>0.36633000390603204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97-4E5C-BD5C-EC536FF20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949504258910724"/>
          <c:y val="7.0600970269412297E-2"/>
          <c:w val="0.38895423853780631"/>
          <c:h val="0.858798059461175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97715322511658"/>
          <c:y val="8.8635273840381237E-2"/>
          <c:w val="0.68972237799353986"/>
          <c:h val="0.657188315965784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A3-4E1B-A679-4DBA7E564A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A3-4E1B-A679-4DBA7E564A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A3-4E1B-A679-4DBA7E564A5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A3-4E1B-A679-4DBA7E564A5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A3-4E1B-A679-4DBA7E564A5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A3-4E1B-A679-4DBA7E564A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WaterMeterreading!$E$27:$G$27</c:f>
              <c:strCache>
                <c:ptCount val="3"/>
                <c:pt idx="0">
                  <c:v>River water</c:v>
                </c:pt>
                <c:pt idx="1">
                  <c:v>Reclaimed water</c:v>
                </c:pt>
                <c:pt idx="2">
                  <c:v>Rainwater</c:v>
                </c:pt>
              </c:strCache>
            </c:strRef>
          </c:cat>
          <c:val>
            <c:numRef>
              <c:f>WaterMeterreading!$E$29:$G$29</c:f>
              <c:numCache>
                <c:formatCode>0%</c:formatCode>
                <c:ptCount val="3"/>
                <c:pt idx="0">
                  <c:v>0.61231410330832714</c:v>
                </c:pt>
                <c:pt idx="1">
                  <c:v>0.32132422606105782</c:v>
                </c:pt>
                <c:pt idx="2">
                  <c:v>6.6361670630615072E-2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3A3-4E1B-A679-4DBA7E564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118811633541153E-2"/>
          <c:y val="0.78969186462749297"/>
          <c:w val="0.93091715761728422"/>
          <c:h val="0.16793392101141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WaterMeterreading!$C$17:$F$17</c:f>
                <c:numCache>
                  <c:formatCode>General</c:formatCode>
                  <c:ptCount val="4"/>
                  <c:pt idx="0">
                    <c:v>100.69247925633682</c:v>
                  </c:pt>
                  <c:pt idx="1">
                    <c:v>68.378998968981691</c:v>
                  </c:pt>
                  <c:pt idx="2">
                    <c:v>60.133878415859172</c:v>
                  </c:pt>
                  <c:pt idx="3">
                    <c:v>76.334032185500178</c:v>
                  </c:pt>
                </c:numCache>
              </c:numRef>
            </c:plus>
            <c:minus>
              <c:numRef>
                <c:f>WaterMeterreading!$C$17:$F$17</c:f>
                <c:numCache>
                  <c:formatCode>General</c:formatCode>
                  <c:ptCount val="4"/>
                  <c:pt idx="0">
                    <c:v>100.69247925633682</c:v>
                  </c:pt>
                  <c:pt idx="1">
                    <c:v>68.378998968981691</c:v>
                  </c:pt>
                  <c:pt idx="2">
                    <c:v>60.133878415859172</c:v>
                  </c:pt>
                  <c:pt idx="3">
                    <c:v>76.334032185500178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WaterMeterreading!$C$2:$F$2</c:f>
              <c:strCache>
                <c:ptCount val="4"/>
                <c:pt idx="0">
                  <c:v>DWTP</c:v>
                </c:pt>
                <c:pt idx="1">
                  <c:v>DWPS</c:v>
                </c:pt>
                <c:pt idx="2">
                  <c:v>DWSC1+2+3</c:v>
                </c:pt>
                <c:pt idx="3">
                  <c:v>S1+2</c:v>
                </c:pt>
              </c:strCache>
            </c:strRef>
          </c:cat>
          <c:val>
            <c:numRef>
              <c:f>WaterMeterreading!$C$16:$F$16</c:f>
              <c:numCache>
                <c:formatCode>0.00</c:formatCode>
                <c:ptCount val="4"/>
                <c:pt idx="0">
                  <c:v>858.45833333333337</c:v>
                </c:pt>
                <c:pt idx="1">
                  <c:v>727.625</c:v>
                </c:pt>
                <c:pt idx="2">
                  <c:v>631.08333333333337</c:v>
                </c:pt>
                <c:pt idx="3">
                  <c:v>336.79166666666669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1-47D8-853A-6EAAF6655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131048"/>
        <c:axId val="445130064"/>
      </c:barChart>
      <c:catAx>
        <c:axId val="44513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5130064"/>
        <c:crosses val="autoZero"/>
        <c:auto val="1"/>
        <c:lblAlgn val="ctr"/>
        <c:lblOffset val="100"/>
        <c:noMultiLvlLbl val="0"/>
      </c:catAx>
      <c:valAx>
        <c:axId val="445130064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Metered flow (m</a:t>
                </a:r>
                <a:r>
                  <a:rPr lang="en-GB" baseline="30000"/>
                  <a:t>3</a:t>
                </a:r>
                <a:r>
                  <a:rPr lang="en-GB"/>
                  <a:t>/d)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alpha val="9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5131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1794903</xdr:colOff>
      <xdr:row>31</xdr:row>
      <xdr:rowOff>69274</xdr:rowOff>
    </xdr:from>
    <xdr:to>
      <xdr:col>9</xdr:col>
      <xdr:colOff>494805</xdr:colOff>
      <xdr:row>54</xdr:row>
      <xdr:rowOff>168235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633351</xdr:colOff>
      <xdr:row>31</xdr:row>
      <xdr:rowOff>69275</xdr:rowOff>
    </xdr:from>
    <xdr:to>
      <xdr:col>3</xdr:col>
      <xdr:colOff>1781299</xdr:colOff>
      <xdr:row>54</xdr:row>
      <xdr:rowOff>168236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0.03094</cdr:x>
      <cdr:y>0.0283</cdr:y>
    </cdr:from>
    <cdr:to>
      <cdr:x>0.16955</cdr:x>
      <cdr:y>0.24623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4109" y="11875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2400"/>
            <a:t>b)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0.0396</cdr:x>
      <cdr:y>0.02594</cdr:y>
    </cdr:from>
    <cdr:to>
      <cdr:x>0.15594</cdr:x>
      <cdr:y>0.13207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8337" y="108855"/>
          <a:ext cx="465117" cy="44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2400"/>
            <a:t>a)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446314</xdr:colOff>
      <xdr:row>2</xdr:row>
      <xdr:rowOff>54429</xdr:rowOff>
    </xdr:from>
    <xdr:to>
      <xdr:col>25</xdr:col>
      <xdr:colOff>261257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42F162-910D-4BAC-8B33-61D6F528D8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3" displayName="表13" ref="A2:J24" totalsRowShown="0" headerRowDxfId="11" dataDxfId="10">
  <autoFilter ref="A2:J24" xr:uid="{00000000-0009-0000-0100-000001000000}"/>
  <tableColumns count="10">
    <tableColumn id="1" xr3:uid="{00000000-0010-0000-0000-000001000000}" name="m3/d" dataDxfId="9"/>
    <tableColumn id="2" xr3:uid="{00000000-0010-0000-0000-000002000000}" name="Teaching buildings DWSC1 (academic area)" dataDxfId="8"/>
    <tableColumn id="3" xr3:uid="{00000000-0010-0000-0000-000003000000}" name="Students Hostel DWSC2" dataDxfId="7"/>
    <tableColumn id="4" xr3:uid="{00000000-0010-0000-0000-000004000000}" name="Academic Housing DWSC3" dataDxfId="6"/>
    <tableColumn id="5" xr3:uid="{00000000-0010-0000-0000-000005000000}" name="Total" dataDxfId="5"/>
    <tableColumn id="6" xr3:uid="{00000000-0010-0000-0000-000006000000}" name="RWSC1 academic area" dataDxfId="4"/>
    <tableColumn id="7" xr3:uid="{00000000-0010-0000-0000-000007000000}" name="RWSC2 hostel students" dataDxfId="3"/>
    <tableColumn id="8" xr3:uid="{00000000-0010-0000-0000-000008000000}" name="RWSC3 housing" dataDxfId="2">
      <calculatedColumnFormula>表13[[#This Row],[Students Hostel DWSC2]]+表13[[#This Row],[Academic Housing DWSC3]]</calculatedColumnFormula>
    </tableColumn>
    <tableColumn id="9" xr3:uid="{00000000-0010-0000-0000-000009000000}" name="Total2" dataDxfId="1">
      <calculatedColumnFormula>表13[[#This Row],[RWSC2 hostel students]]+表13[[#This Row],[RWSC3 housing]]</calculatedColumnFormula>
    </tableColumn>
    <tableColumn id="10" xr3:uid="{00000000-0010-0000-0000-00000A000000}" name="RW" dataDxfId="0">
      <calculatedColumnFormula>WaterMeterreading!G2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zoomScale="77" workbookViewId="0">
      <selection activeCell="I22" sqref="I22"/>
    </sheetView>
  </sheetViews>
  <sheetFormatPr defaultRowHeight="14.4"/>
  <cols>
    <col min="1" max="1" width="25.88671875" customWidth="1"/>
    <col min="2" max="2" width="20.88671875" customWidth="1"/>
    <col min="3" max="3" width="20.6640625" customWidth="1"/>
    <col min="4" max="4" width="27.88671875" customWidth="1"/>
    <col min="5" max="5" width="17.5546875" customWidth="1"/>
    <col min="6" max="6" width="21" customWidth="1"/>
    <col min="7" max="7" width="22.5546875" customWidth="1"/>
    <col min="8" max="8" width="15.33203125" customWidth="1"/>
    <col min="9" max="9" width="10.88671875" customWidth="1"/>
    <col min="10" max="10" width="18.33203125" customWidth="1"/>
    <col min="11" max="11" width="17.33203125" customWidth="1"/>
    <col min="12" max="12" width="12.44140625" customWidth="1"/>
    <col min="13" max="13" width="17.44140625" customWidth="1"/>
    <col min="14" max="14" width="11.6640625" customWidth="1"/>
    <col min="15" max="15" width="21.109375" customWidth="1"/>
  </cols>
  <sheetData>
    <row r="1" spans="1:20" ht="34.5" customHeight="1" thickBot="1">
      <c r="A1" s="170" t="s">
        <v>16</v>
      </c>
      <c r="B1" s="171"/>
      <c r="C1" s="171"/>
      <c r="D1" s="171"/>
      <c r="E1" s="171"/>
      <c r="F1" s="171"/>
      <c r="G1" s="171"/>
      <c r="H1" s="171"/>
      <c r="I1" s="172"/>
      <c r="R1" s="36"/>
      <c r="S1" s="36"/>
      <c r="T1" s="36"/>
    </row>
    <row r="2" spans="1:20">
      <c r="A2" t="s">
        <v>0</v>
      </c>
      <c r="B2" t="s">
        <v>113</v>
      </c>
      <c r="C2" t="s">
        <v>110</v>
      </c>
      <c r="D2" t="s">
        <v>111</v>
      </c>
      <c r="E2" t="s">
        <v>1</v>
      </c>
      <c r="F2" t="s">
        <v>112</v>
      </c>
      <c r="G2" t="s">
        <v>114</v>
      </c>
      <c r="H2" t="s">
        <v>2</v>
      </c>
      <c r="I2" t="s">
        <v>3</v>
      </c>
      <c r="J2" s="10" t="s">
        <v>186</v>
      </c>
      <c r="R2" s="36"/>
      <c r="S2" s="36"/>
      <c r="T2" s="36"/>
    </row>
    <row r="3" spans="1:20">
      <c r="A3" t="s">
        <v>4</v>
      </c>
      <c r="B3">
        <v>1850</v>
      </c>
      <c r="C3">
        <v>1464</v>
      </c>
      <c r="D3">
        <v>1004</v>
      </c>
      <c r="E3">
        <f>表13[[#This Row],[Students Hostel DWSC2]]+表13[[#This Row],[Academic Housing DWSC3]]</f>
        <v>2468</v>
      </c>
      <c r="F3">
        <f>表13[[#This Row],[Teaching buildings DWSC1 (academic area)]]</f>
        <v>1850</v>
      </c>
      <c r="G3">
        <v>1464</v>
      </c>
      <c r="H3">
        <f>表13[[#This Row],[Academic Housing DWSC3]]</f>
        <v>1004</v>
      </c>
      <c r="I3">
        <f>表13[[#This Row],[RWSC2 hostel students]]+表13[[#This Row],[RWSC3 housing]]</f>
        <v>2468</v>
      </c>
      <c r="J3" s="14">
        <f>表13[[#This Row],[Total]]</f>
        <v>2468</v>
      </c>
      <c r="O3" s="1"/>
      <c r="R3" s="36"/>
      <c r="S3" s="36"/>
      <c r="T3" s="36"/>
    </row>
    <row r="4" spans="1:20"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s="14" t="str">
        <f>WaterMeterreading!G3</f>
        <v>m3/d</v>
      </c>
      <c r="O4" s="1"/>
      <c r="R4" s="36"/>
      <c r="S4" s="36"/>
      <c r="T4" s="36"/>
    </row>
    <row r="5" spans="1:20">
      <c r="A5" t="s">
        <v>5</v>
      </c>
      <c r="B5">
        <v>132</v>
      </c>
      <c r="C5">
        <v>211</v>
      </c>
      <c r="D5">
        <v>231</v>
      </c>
      <c r="E5">
        <f>D5+C5+B5</f>
        <v>574</v>
      </c>
      <c r="F5">
        <v>58</v>
      </c>
      <c r="G5">
        <v>91</v>
      </c>
      <c r="H5">
        <v>71</v>
      </c>
      <c r="I5">
        <f>H5+G5+F5</f>
        <v>220</v>
      </c>
      <c r="J5" s="10">
        <f>WaterMeterreading!F4</f>
        <v>369</v>
      </c>
      <c r="R5" s="12"/>
      <c r="S5" s="36"/>
      <c r="T5" s="36"/>
    </row>
    <row r="6" spans="1:20">
      <c r="A6" t="s">
        <v>6</v>
      </c>
      <c r="B6">
        <v>134</v>
      </c>
      <c r="C6">
        <v>210</v>
      </c>
      <c r="D6">
        <v>223</v>
      </c>
      <c r="E6">
        <f t="shared" ref="E6:E13" si="0">D6+C6+B6</f>
        <v>567</v>
      </c>
      <c r="F6">
        <v>58</v>
      </c>
      <c r="G6">
        <v>93</v>
      </c>
      <c r="H6">
        <v>70</v>
      </c>
      <c r="I6">
        <f t="shared" ref="I6:I13" si="1">H6+G6+F6</f>
        <v>221</v>
      </c>
      <c r="J6" s="10">
        <f>WaterMeterreading!F5</f>
        <v>364</v>
      </c>
      <c r="R6" s="12"/>
      <c r="S6" s="36"/>
      <c r="T6" s="36"/>
    </row>
    <row r="7" spans="1:20">
      <c r="A7" t="s">
        <v>7</v>
      </c>
      <c r="B7">
        <v>149</v>
      </c>
      <c r="C7">
        <v>215</v>
      </c>
      <c r="D7">
        <v>197</v>
      </c>
      <c r="E7">
        <f t="shared" si="0"/>
        <v>561</v>
      </c>
      <c r="F7">
        <v>64</v>
      </c>
      <c r="G7">
        <v>95</v>
      </c>
      <c r="H7">
        <v>38</v>
      </c>
      <c r="I7">
        <f t="shared" si="1"/>
        <v>197</v>
      </c>
      <c r="J7" s="10">
        <f>WaterMeterreading!F6</f>
        <v>360</v>
      </c>
      <c r="R7" s="12"/>
      <c r="S7" s="36"/>
      <c r="T7" s="36"/>
    </row>
    <row r="8" spans="1:20">
      <c r="A8" t="s">
        <v>8</v>
      </c>
      <c r="B8">
        <v>194</v>
      </c>
      <c r="C8">
        <v>214</v>
      </c>
      <c r="D8">
        <v>203</v>
      </c>
      <c r="E8">
        <f t="shared" si="0"/>
        <v>611</v>
      </c>
      <c r="F8">
        <v>92</v>
      </c>
      <c r="G8">
        <v>90</v>
      </c>
      <c r="H8">
        <v>46</v>
      </c>
      <c r="I8">
        <f t="shared" si="1"/>
        <v>228</v>
      </c>
      <c r="J8" s="10">
        <f>WaterMeterreading!F7</f>
        <v>345</v>
      </c>
      <c r="R8" s="12"/>
      <c r="S8" s="36"/>
      <c r="T8" s="36"/>
    </row>
    <row r="9" spans="1:20">
      <c r="A9" t="s">
        <v>9</v>
      </c>
      <c r="B9">
        <v>187</v>
      </c>
      <c r="C9">
        <v>174</v>
      </c>
      <c r="D9">
        <v>220</v>
      </c>
      <c r="E9">
        <f t="shared" si="0"/>
        <v>581</v>
      </c>
      <c r="F9">
        <v>104</v>
      </c>
      <c r="G9">
        <v>62</v>
      </c>
      <c r="H9">
        <v>70</v>
      </c>
      <c r="I9">
        <f t="shared" si="1"/>
        <v>236</v>
      </c>
      <c r="J9" s="10">
        <f>WaterMeterreading!F10</f>
        <v>342</v>
      </c>
      <c r="R9" s="12"/>
      <c r="S9" s="36"/>
      <c r="T9" s="36"/>
    </row>
    <row r="10" spans="1:20">
      <c r="A10" t="s">
        <v>10</v>
      </c>
      <c r="B10">
        <v>221</v>
      </c>
      <c r="C10">
        <v>243</v>
      </c>
      <c r="D10">
        <v>226</v>
      </c>
      <c r="E10">
        <f t="shared" si="0"/>
        <v>690</v>
      </c>
      <c r="F10">
        <v>111</v>
      </c>
      <c r="G10">
        <v>82</v>
      </c>
      <c r="H10">
        <v>72</v>
      </c>
      <c r="I10">
        <f t="shared" si="1"/>
        <v>265</v>
      </c>
      <c r="J10" s="10">
        <f>WaterMeterreading!F11</f>
        <v>385</v>
      </c>
      <c r="R10" s="12"/>
      <c r="S10" s="36"/>
      <c r="T10" s="36"/>
    </row>
    <row r="11" spans="1:20">
      <c r="A11" t="s">
        <v>11</v>
      </c>
      <c r="B11">
        <v>219</v>
      </c>
      <c r="C11">
        <v>233</v>
      </c>
      <c r="D11">
        <v>241</v>
      </c>
      <c r="E11">
        <f t="shared" si="0"/>
        <v>693</v>
      </c>
      <c r="F11">
        <v>111</v>
      </c>
      <c r="G11">
        <v>83</v>
      </c>
      <c r="H11">
        <v>85</v>
      </c>
      <c r="I11">
        <f t="shared" si="1"/>
        <v>279</v>
      </c>
      <c r="J11" s="10">
        <f>WaterMeterreading!F12</f>
        <v>396</v>
      </c>
      <c r="R11" s="12"/>
      <c r="S11" s="36"/>
      <c r="T11" s="36"/>
    </row>
    <row r="12" spans="1:20">
      <c r="A12" t="s">
        <v>12</v>
      </c>
      <c r="B12" s="118">
        <f>AVERAGE(B11,B13)</f>
        <v>205.5</v>
      </c>
      <c r="C12" s="118">
        <f t="shared" ref="C12:J12" si="2">AVERAGE(C11,C13)</f>
        <v>255</v>
      </c>
      <c r="D12" s="118">
        <f t="shared" si="2"/>
        <v>237.5</v>
      </c>
      <c r="E12" s="118">
        <f t="shared" si="2"/>
        <v>698</v>
      </c>
      <c r="F12" s="118">
        <f t="shared" si="2"/>
        <v>98.5</v>
      </c>
      <c r="G12" s="118">
        <f t="shared" si="2"/>
        <v>83.5</v>
      </c>
      <c r="H12" s="118">
        <f t="shared" si="2"/>
        <v>77</v>
      </c>
      <c r="I12" s="118">
        <f t="shared" si="2"/>
        <v>259</v>
      </c>
      <c r="J12" s="118">
        <f t="shared" si="2"/>
        <v>372.5</v>
      </c>
      <c r="L12" s="133" t="s">
        <v>260</v>
      </c>
      <c r="R12" s="12"/>
      <c r="S12" s="36"/>
      <c r="T12" s="36"/>
    </row>
    <row r="13" spans="1:20">
      <c r="A13" t="s">
        <v>13</v>
      </c>
      <c r="B13">
        <v>192</v>
      </c>
      <c r="C13">
        <v>277</v>
      </c>
      <c r="D13">
        <v>234</v>
      </c>
      <c r="E13">
        <f t="shared" si="0"/>
        <v>703</v>
      </c>
      <c r="F13">
        <v>86</v>
      </c>
      <c r="G13">
        <v>84</v>
      </c>
      <c r="H13">
        <v>69</v>
      </c>
      <c r="I13">
        <f t="shared" si="1"/>
        <v>239</v>
      </c>
      <c r="J13" s="10">
        <f>WaterMeterreading!F14</f>
        <v>349</v>
      </c>
      <c r="K13" s="126" t="s">
        <v>282</v>
      </c>
      <c r="R13" s="12"/>
      <c r="S13" s="36"/>
      <c r="T13" s="36"/>
    </row>
    <row r="14" spans="1:20">
      <c r="A14" s="7" t="s">
        <v>14</v>
      </c>
      <c r="B14" s="9">
        <f>AVERAGE(B5:B13)</f>
        <v>181.5</v>
      </c>
      <c r="C14" s="9">
        <f t="shared" ref="C14:J14" si="3">AVERAGE(C5:C13)</f>
        <v>225.77777777777777</v>
      </c>
      <c r="D14" s="9">
        <f t="shared" si="3"/>
        <v>223.61111111111111</v>
      </c>
      <c r="E14" s="9">
        <f t="shared" si="3"/>
        <v>630.88888888888891</v>
      </c>
      <c r="F14" s="9">
        <f t="shared" si="3"/>
        <v>86.944444444444443</v>
      </c>
      <c r="G14" s="9">
        <f t="shared" si="3"/>
        <v>84.833333333333329</v>
      </c>
      <c r="H14" s="9">
        <f t="shared" si="3"/>
        <v>66.444444444444443</v>
      </c>
      <c r="I14" s="9">
        <f t="shared" si="3"/>
        <v>238.22222222222223</v>
      </c>
      <c r="J14" s="9">
        <f t="shared" si="3"/>
        <v>364.72222222222223</v>
      </c>
      <c r="K14" s="21">
        <f>AVERAGE(WaterMeterreading!H4:H7,WaterMeterreading!H10:H14)</f>
        <v>283.88888888888891</v>
      </c>
      <c r="L14" s="1"/>
      <c r="M14" s="150"/>
      <c r="N14" s="1"/>
      <c r="O14" s="1"/>
      <c r="P14" s="1"/>
      <c r="Q14" s="1"/>
      <c r="R14" s="12"/>
      <c r="S14" s="36"/>
      <c r="T14" s="36"/>
    </row>
    <row r="15" spans="1:20" ht="43.2">
      <c r="A15" s="8" t="s">
        <v>187</v>
      </c>
      <c r="B15" s="10"/>
      <c r="C15" s="10"/>
      <c r="D15" s="10"/>
      <c r="E15" s="10"/>
      <c r="F15" s="10"/>
      <c r="G15" s="10"/>
      <c r="H15" s="14"/>
      <c r="I15" s="14"/>
      <c r="J15" s="21">
        <f>J14/J3*1000</f>
        <v>147.78047902034936</v>
      </c>
      <c r="K15" s="1"/>
      <c r="L15" s="1"/>
      <c r="M15" s="1"/>
      <c r="N15" s="1"/>
      <c r="O15" s="1"/>
      <c r="P15" s="1"/>
      <c r="Q15" s="1"/>
      <c r="R15" s="12"/>
      <c r="S15" s="36"/>
      <c r="T15" s="36"/>
    </row>
    <row r="16" spans="1:20" ht="43.2">
      <c r="A16" s="8" t="s">
        <v>123</v>
      </c>
      <c r="B16" s="3">
        <f>B14/B3*1000</f>
        <v>98.108108108108098</v>
      </c>
      <c r="C16" s="3">
        <f>C14/C3*1000</f>
        <v>154.21979356405586</v>
      </c>
      <c r="D16" s="3">
        <f>D14/D3*1000</f>
        <v>222.72023019034972</v>
      </c>
      <c r="F16" s="3"/>
      <c r="G16" s="3"/>
      <c r="H16" s="3"/>
      <c r="J16" s="3"/>
      <c r="K16" s="1"/>
      <c r="L16" s="1">
        <f>表13[[#This Row],[Academic Housing DWSC3]]/79</f>
        <v>2.8192434201310093</v>
      </c>
      <c r="M16" s="1" t="s">
        <v>261</v>
      </c>
      <c r="N16" s="1"/>
      <c r="O16" s="1"/>
      <c r="P16" s="1"/>
      <c r="Q16" s="1"/>
      <c r="R16" s="36"/>
      <c r="S16" s="36"/>
      <c r="T16" s="36"/>
    </row>
    <row r="17" spans="1:20" ht="43.2">
      <c r="A17" s="11" t="s">
        <v>124</v>
      </c>
      <c r="B17" s="12"/>
      <c r="C17" s="12"/>
      <c r="D17" s="12"/>
      <c r="E17" s="10"/>
      <c r="F17" s="12">
        <f>F14/F3*1000</f>
        <v>46.996996996996998</v>
      </c>
      <c r="G17" s="12">
        <f>G14/G3*1000</f>
        <v>57.946265938069217</v>
      </c>
      <c r="H17" s="12">
        <f>H14/H3*1000</f>
        <v>66.179725542275349</v>
      </c>
      <c r="I17" s="90">
        <f>表13[[#This Row],[RWSC1 academic area]]+表13[[#This Row],[RWSC2 hostel students]]+表13[[#This Row],[RWSC3 housing]]</f>
        <v>171.12298847734155</v>
      </c>
      <c r="J17" s="90"/>
      <c r="K17" s="1"/>
      <c r="L17" s="1"/>
      <c r="M17" s="1"/>
      <c r="N17" s="1"/>
      <c r="O17" s="1"/>
      <c r="P17" s="1"/>
      <c r="Q17" s="1"/>
      <c r="R17" s="36"/>
      <c r="S17" s="36"/>
      <c r="T17" s="36"/>
    </row>
    <row r="18" spans="1:20" ht="43.2">
      <c r="A18" s="11" t="s">
        <v>126</v>
      </c>
      <c r="B18" s="12">
        <f>B16-F17</f>
        <v>51.1111111111111</v>
      </c>
      <c r="C18" s="12">
        <f t="shared" ref="C18:D18" si="4">C16-G17</f>
        <v>96.273527625986645</v>
      </c>
      <c r="D18" s="12">
        <f t="shared" si="4"/>
        <v>156.54050464807437</v>
      </c>
      <c r="E18" s="10"/>
      <c r="F18" s="12"/>
      <c r="G18" s="12"/>
      <c r="H18" s="13"/>
      <c r="I18" s="14"/>
      <c r="J18" s="90"/>
      <c r="K18" s="1"/>
      <c r="L18" s="1"/>
      <c r="M18" s="1"/>
      <c r="N18" s="1"/>
      <c r="O18" s="1"/>
      <c r="P18" s="1"/>
      <c r="Q18" s="1"/>
      <c r="R18" s="36"/>
      <c r="S18" s="36"/>
      <c r="T18" s="36"/>
    </row>
    <row r="19" spans="1:20" ht="43.2">
      <c r="A19" s="11" t="s">
        <v>125</v>
      </c>
      <c r="B19" s="15"/>
      <c r="C19" s="15"/>
      <c r="D19" s="15"/>
      <c r="E19" s="16"/>
      <c r="F19" s="15">
        <f>F17/B16</f>
        <v>0.47903275176002452</v>
      </c>
      <c r="G19" s="15">
        <f t="shared" ref="G19:H19" si="5">G17/C16</f>
        <v>0.37573818897637795</v>
      </c>
      <c r="H19" s="15">
        <f t="shared" si="5"/>
        <v>0.29714285714285715</v>
      </c>
      <c r="I19" s="14"/>
      <c r="J19" s="90"/>
      <c r="K19" s="1"/>
      <c r="L19" s="1"/>
      <c r="M19" s="1"/>
      <c r="N19" s="1"/>
      <c r="O19" s="1"/>
      <c r="P19" s="1"/>
      <c r="Q19" s="1"/>
      <c r="R19" s="36"/>
      <c r="S19" s="36"/>
      <c r="T19" s="36"/>
    </row>
    <row r="20" spans="1:20" s="39" customFormat="1" ht="44.4" customHeight="1">
      <c r="B20" s="39" t="s">
        <v>127</v>
      </c>
      <c r="C20" s="39" t="s">
        <v>128</v>
      </c>
      <c r="D20" s="39" t="s">
        <v>129</v>
      </c>
      <c r="E20" s="39" t="s">
        <v>130</v>
      </c>
      <c r="F20" s="39" t="s">
        <v>131</v>
      </c>
      <c r="G20" s="40" t="s">
        <v>184</v>
      </c>
      <c r="H20" s="94" t="s">
        <v>185</v>
      </c>
      <c r="I20" s="39" t="s">
        <v>15</v>
      </c>
      <c r="J20" s="95"/>
      <c r="K20" s="41"/>
      <c r="L20" s="41"/>
      <c r="M20" s="41"/>
      <c r="N20" s="41"/>
      <c r="O20" s="41"/>
      <c r="P20" s="41"/>
      <c r="Q20" s="41"/>
      <c r="R20" s="42"/>
      <c r="S20" s="42"/>
      <c r="T20" s="42"/>
    </row>
    <row r="21" spans="1:20">
      <c r="A21" t="s">
        <v>0</v>
      </c>
      <c r="B21" s="4">
        <f>C14+D14-G14-H14</f>
        <v>298.11111111111114</v>
      </c>
      <c r="C21" s="4">
        <f>G14+H14</f>
        <v>151.27777777777777</v>
      </c>
      <c r="D21" s="4">
        <f>B14-F14</f>
        <v>94.555555555555557</v>
      </c>
      <c r="E21" s="4">
        <f>F14</f>
        <v>86.944444444444443</v>
      </c>
      <c r="F21" s="4">
        <f>J14</f>
        <v>364.72222222222223</v>
      </c>
      <c r="G21" s="21">
        <f>表13[[#This Row],[Teaching buildings DWSC1 (academic area)]]+表13[[#This Row],[Academic Housing DWSC3]]</f>
        <v>392.66666666666669</v>
      </c>
      <c r="H21" s="90">
        <f>表13[[#This Row],[Students Hostel DWSC2]]+表13[[#This Row],[Total]]+表13[[#This Row],[RWSC1 academic area]]</f>
        <v>602.94444444444446</v>
      </c>
      <c r="I21" s="9">
        <f>SUM(B21:F21)</f>
        <v>995.61111111111109</v>
      </c>
      <c r="J21" s="90"/>
      <c r="K21" s="22"/>
      <c r="L21" s="1"/>
      <c r="M21" s="1"/>
      <c r="N21" s="1"/>
      <c r="O21" s="1"/>
      <c r="P21" s="1"/>
      <c r="Q21" s="1"/>
      <c r="R21" s="36"/>
      <c r="S21" s="36"/>
      <c r="T21" s="36"/>
    </row>
    <row r="22" spans="1:20">
      <c r="A22" s="10" t="s">
        <v>122</v>
      </c>
      <c r="B22" s="89">
        <f>B21/(C3+D3)*1000</f>
        <v>120.79056365928328</v>
      </c>
      <c r="C22" s="89">
        <f>C21/(C3+D3)*1000</f>
        <v>61.295696020169274</v>
      </c>
      <c r="D22" s="89">
        <f>D21/(C3+D3)*1000</f>
        <v>38.312623806951194</v>
      </c>
      <c r="E22" s="89">
        <f>E21/(C3+D3)*1000</f>
        <v>35.228705204394025</v>
      </c>
      <c r="F22" s="89">
        <f>F21/E3*1000</f>
        <v>147.78047902034936</v>
      </c>
      <c r="G22" s="21">
        <f>G21/I3*1000</f>
        <v>159.10318746623449</v>
      </c>
      <c r="H22" s="21">
        <f>H21/I3*1000</f>
        <v>244.30488024491268</v>
      </c>
      <c r="I22" s="93">
        <f>I21/I3*1000</f>
        <v>403.40806771114711</v>
      </c>
      <c r="J22" s="90"/>
      <c r="K22" s="22"/>
      <c r="L22" s="1">
        <f>SUM(表13[[#This Row],[Teaching buildings DWSC1 (academic area)]:[RWSC1 academic area]])</f>
        <v>403.40806771114717</v>
      </c>
      <c r="M22" s="1"/>
      <c r="N22" s="1"/>
      <c r="O22" s="1"/>
      <c r="P22" s="1"/>
      <c r="Q22" s="1"/>
      <c r="R22" s="36"/>
      <c r="S22" s="36"/>
      <c r="T22" s="36"/>
    </row>
    <row r="23" spans="1:20">
      <c r="A23" s="10" t="s">
        <v>122</v>
      </c>
      <c r="B23" s="155"/>
      <c r="C23" s="155">
        <f>SUM(B22:C22)</f>
        <v>182.08625967945255</v>
      </c>
      <c r="D23" s="156"/>
      <c r="E23" s="155">
        <f>SUM(D22:E22)</f>
        <v>73.541329011345226</v>
      </c>
      <c r="F23" s="156"/>
      <c r="G23" s="156"/>
      <c r="H23" s="155"/>
      <c r="I23" s="156"/>
      <c r="J23" s="155"/>
      <c r="K23" s="22"/>
      <c r="L23" s="1"/>
      <c r="M23" s="1"/>
      <c r="N23" s="1"/>
      <c r="O23" s="1"/>
      <c r="P23" s="1"/>
      <c r="Q23" s="1"/>
      <c r="R23" s="36"/>
      <c r="S23" s="36"/>
      <c r="T23" s="36"/>
    </row>
    <row r="24" spans="1:20">
      <c r="A24" s="5"/>
      <c r="B24" s="157">
        <f>B21/I21</f>
        <v>0.29942525528709341</v>
      </c>
      <c r="C24" s="157">
        <f>C21/I21</f>
        <v>0.15194464594609675</v>
      </c>
      <c r="D24" s="157">
        <f>D21/I21</f>
        <v>9.497237877350595E-2</v>
      </c>
      <c r="E24" s="157">
        <f>E21/I21</f>
        <v>8.7327716087271912E-2</v>
      </c>
      <c r="F24" s="157">
        <f>F21/I21</f>
        <v>0.36633000390603204</v>
      </c>
      <c r="G24" s="157"/>
      <c r="H24" s="157"/>
      <c r="I24" s="157"/>
      <c r="J24" s="155">
        <f>WaterMeterreading!G25</f>
        <v>0</v>
      </c>
      <c r="K24" s="1"/>
      <c r="L24" s="1"/>
      <c r="M24" s="1"/>
      <c r="N24" s="1"/>
      <c r="O24" s="1"/>
      <c r="P24" s="1"/>
      <c r="Q24" s="1"/>
      <c r="R24" s="36"/>
      <c r="S24" s="36"/>
      <c r="T24" s="36"/>
    </row>
    <row r="25" spans="1:20">
      <c r="R25" s="36"/>
      <c r="S25" s="36"/>
      <c r="T25" s="36"/>
    </row>
    <row r="26" spans="1:20">
      <c r="F26" t="s">
        <v>278</v>
      </c>
      <c r="G26" s="9">
        <f>G21*365</f>
        <v>143323.33333333334</v>
      </c>
      <c r="R26" s="36"/>
      <c r="S26" s="36"/>
      <c r="T26" s="36"/>
    </row>
    <row r="27" spans="1:20">
      <c r="F27" t="s">
        <v>279</v>
      </c>
      <c r="G27" s="9">
        <f>SUM(C21,E21)*365</f>
        <v>86951.111111111109</v>
      </c>
      <c r="R27" s="36"/>
      <c r="S27" s="36"/>
      <c r="T27" s="36"/>
    </row>
    <row r="28" spans="1:20">
      <c r="R28" s="36"/>
      <c r="S28" s="36"/>
      <c r="T28" s="36"/>
    </row>
    <row r="29" spans="1:20">
      <c r="R29" s="36"/>
      <c r="S29" s="36"/>
      <c r="T29" s="36"/>
    </row>
  </sheetData>
  <mergeCells count="1">
    <mergeCell ref="A1:I1"/>
  </mergeCells>
  <pageMargins left="0.7" right="0.7" top="0.75" bottom="0.75" header="0.3" footer="0.3"/>
  <pageSetup paperSize="9" orientation="portrait" r:id="rId1"/>
  <ignoredErrors>
    <ignoredError sqref="I5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topLeftCell="A2" zoomScale="70" zoomScaleNormal="70" workbookViewId="0">
      <selection activeCell="J22" sqref="J22"/>
    </sheetView>
  </sheetViews>
  <sheetFormatPr defaultRowHeight="14.4"/>
  <cols>
    <col min="1" max="1" width="24.6640625" customWidth="1"/>
    <col min="2" max="2" width="22.5546875" customWidth="1"/>
    <col min="4" max="4" width="13.33203125" customWidth="1"/>
    <col min="6" max="6" width="11.5546875" customWidth="1"/>
    <col min="7" max="7" width="8.88671875" customWidth="1"/>
  </cols>
  <sheetData>
    <row r="1" spans="1:13" ht="15" thickBot="1">
      <c r="A1" s="173" t="s">
        <v>153</v>
      </c>
      <c r="B1" s="174"/>
      <c r="C1" s="174"/>
      <c r="D1" s="174"/>
      <c r="E1" s="174"/>
      <c r="F1" s="174"/>
      <c r="G1" s="174"/>
      <c r="H1" s="175"/>
      <c r="I1" s="10"/>
      <c r="J1" s="10"/>
      <c r="K1" s="10"/>
      <c r="L1" s="10"/>
    </row>
    <row r="2" spans="1:13" ht="27.6">
      <c r="A2" s="120"/>
      <c r="B2" s="120" t="s">
        <v>17</v>
      </c>
      <c r="C2" s="120" t="s">
        <v>95</v>
      </c>
      <c r="D2" s="120" t="s">
        <v>31</v>
      </c>
      <c r="E2" s="120" t="s">
        <v>32</v>
      </c>
      <c r="F2" s="120" t="s">
        <v>33</v>
      </c>
      <c r="G2" s="120" t="s">
        <v>34</v>
      </c>
      <c r="H2" s="120" t="s">
        <v>35</v>
      </c>
      <c r="I2" s="10"/>
      <c r="J2" s="10"/>
      <c r="K2" s="10"/>
      <c r="L2" s="10"/>
    </row>
    <row r="3" spans="1:13">
      <c r="A3" s="121" t="s">
        <v>18</v>
      </c>
      <c r="B3" s="122" t="s">
        <v>0</v>
      </c>
      <c r="C3" s="122" t="s">
        <v>0</v>
      </c>
      <c r="D3" s="122" t="s">
        <v>0</v>
      </c>
      <c r="E3" s="122" t="s">
        <v>0</v>
      </c>
      <c r="F3" s="122" t="s">
        <v>0</v>
      </c>
      <c r="G3" s="122" t="s">
        <v>0</v>
      </c>
      <c r="H3" s="123" t="s">
        <v>0</v>
      </c>
      <c r="I3" s="10"/>
      <c r="K3" s="10"/>
      <c r="L3" s="10"/>
    </row>
    <row r="4" spans="1:13">
      <c r="A4" s="124" t="s">
        <v>19</v>
      </c>
      <c r="B4" s="123">
        <v>601</v>
      </c>
      <c r="C4" s="123">
        <v>757</v>
      </c>
      <c r="D4" s="123">
        <v>672</v>
      </c>
      <c r="E4" s="123">
        <f>Breakdownwaterdemand!E5</f>
        <v>574</v>
      </c>
      <c r="F4" s="123">
        <v>369</v>
      </c>
      <c r="G4" s="123">
        <f>Breakdownwaterdemand!I5</f>
        <v>220</v>
      </c>
      <c r="H4" s="122">
        <v>264</v>
      </c>
      <c r="I4" s="10"/>
      <c r="K4" s="10"/>
      <c r="L4" s="10"/>
    </row>
    <row r="5" spans="1:13">
      <c r="A5" s="124" t="s">
        <v>29</v>
      </c>
      <c r="B5" s="123">
        <v>598</v>
      </c>
      <c r="C5" s="123">
        <v>749</v>
      </c>
      <c r="D5" s="123">
        <v>662</v>
      </c>
      <c r="E5" s="123">
        <f>Breakdownwaterdemand!E6</f>
        <v>567</v>
      </c>
      <c r="F5" s="123">
        <v>364</v>
      </c>
      <c r="G5" s="123">
        <f>Breakdownwaterdemand!I6</f>
        <v>221</v>
      </c>
      <c r="H5" s="122">
        <v>263</v>
      </c>
      <c r="I5" s="10"/>
      <c r="J5" s="10"/>
      <c r="K5" s="10"/>
      <c r="L5" s="10"/>
    </row>
    <row r="6" spans="1:13">
      <c r="A6" s="124" t="s">
        <v>20</v>
      </c>
      <c r="B6" s="123">
        <v>558</v>
      </c>
      <c r="C6" s="123">
        <v>777</v>
      </c>
      <c r="D6" s="123">
        <v>660</v>
      </c>
      <c r="E6" s="123">
        <f>Breakdownwaterdemand!E7</f>
        <v>561</v>
      </c>
      <c r="F6" s="123">
        <v>360</v>
      </c>
      <c r="G6" s="123">
        <f>Breakdownwaterdemand!I7</f>
        <v>197</v>
      </c>
      <c r="H6" s="122">
        <v>286</v>
      </c>
      <c r="I6" s="10"/>
      <c r="J6" s="10"/>
      <c r="K6" s="10"/>
      <c r="L6" s="10"/>
    </row>
    <row r="7" spans="1:13">
      <c r="A7" s="124" t="s">
        <v>21</v>
      </c>
      <c r="B7" s="123">
        <v>603</v>
      </c>
      <c r="C7" s="123">
        <v>839</v>
      </c>
      <c r="D7" s="123">
        <v>700</v>
      </c>
      <c r="E7" s="123">
        <f>Breakdownwaterdemand!E8</f>
        <v>611</v>
      </c>
      <c r="F7" s="123">
        <v>345</v>
      </c>
      <c r="G7" s="123">
        <f>Breakdownwaterdemand!I8</f>
        <v>228</v>
      </c>
      <c r="H7" s="122">
        <v>309</v>
      </c>
      <c r="I7" s="10"/>
      <c r="J7" s="10"/>
      <c r="K7" s="10"/>
      <c r="L7" s="10"/>
    </row>
    <row r="8" spans="1:13">
      <c r="A8" s="124" t="s">
        <v>62</v>
      </c>
      <c r="B8" s="123">
        <v>677</v>
      </c>
      <c r="C8" s="123">
        <v>892</v>
      </c>
      <c r="D8" s="123">
        <v>785</v>
      </c>
      <c r="E8" s="119">
        <f>AVERAGE(E7,E10)</f>
        <v>596</v>
      </c>
      <c r="F8" s="123">
        <v>311</v>
      </c>
      <c r="G8" s="119">
        <f>AVERAGE(G7,G10)</f>
        <v>232</v>
      </c>
      <c r="H8" s="119">
        <f>AVERAGE(H7,H9)</f>
        <v>306.5</v>
      </c>
      <c r="I8" s="10"/>
      <c r="J8" s="133" t="s">
        <v>260</v>
      </c>
      <c r="K8" s="10"/>
      <c r="L8" s="10"/>
    </row>
    <row r="9" spans="1:13">
      <c r="A9" s="124" t="s">
        <v>182</v>
      </c>
      <c r="B9" s="123">
        <v>919</v>
      </c>
      <c r="C9" s="123">
        <v>1034</v>
      </c>
      <c r="D9" s="123">
        <v>854</v>
      </c>
      <c r="E9" s="119">
        <f>AVERAGE(E7,E10)</f>
        <v>596</v>
      </c>
      <c r="F9" s="123">
        <v>343</v>
      </c>
      <c r="G9" s="119">
        <f>AVERAGE(G7,G10)</f>
        <v>232</v>
      </c>
      <c r="H9" s="122">
        <v>304</v>
      </c>
      <c r="I9" s="10"/>
      <c r="J9" s="10"/>
      <c r="K9" s="10"/>
      <c r="L9" s="10"/>
    </row>
    <row r="10" spans="1:13">
      <c r="A10" s="124" t="s">
        <v>22</v>
      </c>
      <c r="B10" s="123">
        <v>536</v>
      </c>
      <c r="C10" s="123">
        <v>758</v>
      </c>
      <c r="D10" s="123">
        <v>637</v>
      </c>
      <c r="E10" s="123">
        <f>Breakdownwaterdemand!E9</f>
        <v>581</v>
      </c>
      <c r="F10" s="123">
        <v>342</v>
      </c>
      <c r="G10" s="123">
        <f>Breakdownwaterdemand!I9</f>
        <v>236</v>
      </c>
      <c r="H10" s="122">
        <v>274</v>
      </c>
      <c r="I10" s="10"/>
      <c r="J10" s="10"/>
      <c r="K10" s="10"/>
      <c r="L10" s="10"/>
    </row>
    <row r="11" spans="1:13">
      <c r="A11" s="124" t="s">
        <v>23</v>
      </c>
      <c r="B11" s="123">
        <v>629</v>
      </c>
      <c r="C11" s="123">
        <v>874</v>
      </c>
      <c r="D11" s="123">
        <v>767</v>
      </c>
      <c r="E11" s="123">
        <f>Breakdownwaterdemand!E10</f>
        <v>690</v>
      </c>
      <c r="F11" s="123">
        <v>385</v>
      </c>
      <c r="G11" s="123">
        <f>Breakdownwaterdemand!I10</f>
        <v>265</v>
      </c>
      <c r="H11" s="122">
        <v>302</v>
      </c>
      <c r="I11" s="10"/>
      <c r="J11" s="10"/>
      <c r="K11" s="10"/>
      <c r="L11" s="10"/>
    </row>
    <row r="12" spans="1:13">
      <c r="A12" s="124" t="s">
        <v>24</v>
      </c>
      <c r="B12" s="123">
        <v>647</v>
      </c>
      <c r="C12" s="123">
        <v>1000</v>
      </c>
      <c r="D12" s="123">
        <v>789</v>
      </c>
      <c r="E12" s="123">
        <f>Breakdownwaterdemand!E11</f>
        <v>693</v>
      </c>
      <c r="F12" s="125">
        <v>396</v>
      </c>
      <c r="G12" s="123">
        <f>Breakdownwaterdemand!I11</f>
        <v>279</v>
      </c>
      <c r="H12" s="122">
        <v>279</v>
      </c>
      <c r="I12" s="10"/>
      <c r="J12" s="10"/>
      <c r="K12" s="36"/>
      <c r="L12" s="36"/>
      <c r="M12" s="36"/>
    </row>
    <row r="13" spans="1:13">
      <c r="A13" s="124" t="s">
        <v>25</v>
      </c>
      <c r="B13" s="123">
        <v>687</v>
      </c>
      <c r="C13" s="119">
        <f>AVERAGE(C12,C14)</f>
        <v>952.5</v>
      </c>
      <c r="D13" s="119">
        <f>AVERAGE(D12,D14)</f>
        <v>773.5</v>
      </c>
      <c r="E13" s="119">
        <f>AVERAGE(E12,E14)</f>
        <v>698</v>
      </c>
      <c r="F13" s="119">
        <f>AVERAGE(F12,F14)</f>
        <v>372.5</v>
      </c>
      <c r="G13" s="119">
        <f>AVERAGE(G12,G14)</f>
        <v>259</v>
      </c>
      <c r="H13" s="122">
        <v>296</v>
      </c>
      <c r="I13" s="126"/>
      <c r="J13" s="127"/>
      <c r="K13" s="37"/>
      <c r="L13" s="38"/>
      <c r="M13" s="36"/>
    </row>
    <row r="14" spans="1:13">
      <c r="A14" s="124" t="s">
        <v>26</v>
      </c>
      <c r="B14" s="123">
        <v>660</v>
      </c>
      <c r="C14" s="123">
        <v>905</v>
      </c>
      <c r="D14" s="123">
        <v>758</v>
      </c>
      <c r="E14" s="123">
        <f>Breakdownwaterdemand!E13</f>
        <v>703</v>
      </c>
      <c r="F14" s="123">
        <v>349</v>
      </c>
      <c r="G14" s="123">
        <f>Breakdownwaterdemand!I13</f>
        <v>239</v>
      </c>
      <c r="H14" s="122">
        <v>282</v>
      </c>
      <c r="I14" s="10"/>
      <c r="J14" s="10"/>
      <c r="K14" s="36"/>
      <c r="L14" s="36"/>
      <c r="M14" s="36"/>
    </row>
    <row r="15" spans="1:13">
      <c r="A15" s="124" t="s">
        <v>64</v>
      </c>
      <c r="B15" s="123">
        <v>574</v>
      </c>
      <c r="C15" s="123">
        <v>764</v>
      </c>
      <c r="D15" s="123">
        <v>674</v>
      </c>
      <c r="E15" s="119">
        <f>E14</f>
        <v>703</v>
      </c>
      <c r="F15" s="123">
        <v>105</v>
      </c>
      <c r="G15" s="119">
        <f>G14</f>
        <v>239</v>
      </c>
      <c r="H15" s="119">
        <f>H14</f>
        <v>282</v>
      </c>
      <c r="I15" s="10"/>
      <c r="J15" s="10" t="s">
        <v>196</v>
      </c>
      <c r="K15" s="36"/>
      <c r="L15" s="36"/>
      <c r="M15" s="36"/>
    </row>
    <row r="16" spans="1:13">
      <c r="A16" s="128" t="s">
        <v>36</v>
      </c>
      <c r="B16" s="129">
        <f>AVERAGE(B4:B15)</f>
        <v>640.75</v>
      </c>
      <c r="C16" s="129">
        <f t="shared" ref="C16:H16" si="0">AVERAGE(C4:C15)</f>
        <v>858.45833333333337</v>
      </c>
      <c r="D16" s="129">
        <f t="shared" si="0"/>
        <v>727.625</v>
      </c>
      <c r="E16" s="129">
        <f t="shared" si="0"/>
        <v>631.08333333333337</v>
      </c>
      <c r="F16" s="129">
        <f t="shared" si="0"/>
        <v>336.79166666666669</v>
      </c>
      <c r="G16" s="129">
        <f t="shared" si="0"/>
        <v>237.25</v>
      </c>
      <c r="H16" s="129">
        <f t="shared" si="0"/>
        <v>287.29166666666669</v>
      </c>
      <c r="I16" s="10"/>
      <c r="J16" s="130">
        <f>1-F16/E16</f>
        <v>0.46632774329856064</v>
      </c>
      <c r="K16" s="36"/>
      <c r="L16" s="36"/>
      <c r="M16" s="36"/>
    </row>
    <row r="17" spans="1:12">
      <c r="A17" s="124" t="s">
        <v>37</v>
      </c>
      <c r="B17" s="131">
        <f>STDEV(B4:B15)</f>
        <v>99.330600430170463</v>
      </c>
      <c r="C17" s="131">
        <f t="shared" ref="C17:H17" si="1">STDEV(C4:C15)</f>
        <v>100.69247925633682</v>
      </c>
      <c r="D17" s="131">
        <f t="shared" si="1"/>
        <v>68.378998968981691</v>
      </c>
      <c r="E17" s="131">
        <f t="shared" si="1"/>
        <v>60.133878415859172</v>
      </c>
      <c r="F17" s="131">
        <f t="shared" si="1"/>
        <v>76.334032185500178</v>
      </c>
      <c r="G17" s="131">
        <f t="shared" si="1"/>
        <v>21.983981771859586</v>
      </c>
      <c r="H17" s="131">
        <f t="shared" si="1"/>
        <v>16.08847460611214</v>
      </c>
      <c r="I17" s="10"/>
      <c r="J17" s="10" t="s">
        <v>267</v>
      </c>
      <c r="K17" s="10"/>
      <c r="L17" s="10"/>
    </row>
    <row r="18" spans="1:12">
      <c r="A18" s="124" t="s">
        <v>38</v>
      </c>
      <c r="B18" s="131">
        <f>B17/SQRT(COUNT(B4:B15))</f>
        <v>28.67427444856304</v>
      </c>
      <c r="C18" s="131">
        <f t="shared" ref="C18:H18" si="2">C17/SQRT(COUNT(C4:C15))</f>
        <v>29.067415002008438</v>
      </c>
      <c r="D18" s="131">
        <f t="shared" si="2"/>
        <v>19.739316730829362</v>
      </c>
      <c r="E18" s="131">
        <f t="shared" si="2"/>
        <v>17.359155445406262</v>
      </c>
      <c r="F18" s="131">
        <f t="shared" si="2"/>
        <v>22.035737015314044</v>
      </c>
      <c r="G18" s="131">
        <f t="shared" si="2"/>
        <v>6.3462288969214793</v>
      </c>
      <c r="H18" s="131">
        <f t="shared" si="2"/>
        <v>4.6443425723446516</v>
      </c>
      <c r="I18" s="10"/>
      <c r="J18" s="153">
        <f>E16-F16</f>
        <v>294.29166666666669</v>
      </c>
      <c r="K18" s="10"/>
      <c r="L18" s="10"/>
    </row>
    <row r="19" spans="1:12">
      <c r="A19" s="10"/>
      <c r="B19" s="10"/>
      <c r="C19" s="10"/>
      <c r="D19" s="10"/>
      <c r="E19" s="10"/>
      <c r="F19" s="10"/>
      <c r="G19" s="10"/>
      <c r="H19" s="10"/>
      <c r="I19" s="10"/>
      <c r="J19" s="10">
        <f>32/J18</f>
        <v>0.1087356647317004</v>
      </c>
      <c r="K19" s="10" t="s">
        <v>283</v>
      </c>
      <c r="L19" s="10"/>
    </row>
    <row r="20" spans="1:12">
      <c r="A20" s="10"/>
      <c r="B20" s="10" t="s">
        <v>276</v>
      </c>
      <c r="C20" s="10"/>
      <c r="D20" s="10"/>
      <c r="E20" s="10"/>
      <c r="F20" s="10" t="s">
        <v>276</v>
      </c>
      <c r="G20" s="10"/>
      <c r="H20" s="10"/>
      <c r="I20" s="10"/>
      <c r="J20" s="10"/>
      <c r="K20" s="10"/>
      <c r="L20" s="10"/>
    </row>
    <row r="21" spans="1:12" ht="43.2">
      <c r="A21" s="31" t="s">
        <v>160</v>
      </c>
      <c r="B21" s="10">
        <f>B4*30+B5*27+B6*31+B7*30+B8*31+B9*30+B10*31+B11*31+B12*30+B13*31+B14*30+B15*31</f>
        <v>232537</v>
      </c>
      <c r="C21" s="10"/>
      <c r="D21" s="10"/>
      <c r="E21" s="10"/>
      <c r="F21" s="21">
        <f>F4*30+F5*27+F6*31+F7*30+F8*31+F9*30+F10*31+F11*31+F12*30+AVERAGE(F12,F14)*31+F14*30+F15*31</f>
        <v>122028.5</v>
      </c>
      <c r="G21" s="10"/>
      <c r="H21" s="10"/>
      <c r="I21" s="10"/>
      <c r="J21" s="10"/>
      <c r="K21" s="10"/>
      <c r="L21" s="10"/>
    </row>
    <row r="22" spans="1:1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28.8">
      <c r="A23" s="31" t="s">
        <v>183</v>
      </c>
      <c r="B23" s="10"/>
      <c r="C23" s="10"/>
      <c r="D23" s="10"/>
      <c r="E23" s="10"/>
      <c r="F23" s="10">
        <f>SUM(F4:F15)/SUM(C4:C15)</f>
        <v>0.39232150657671211</v>
      </c>
      <c r="G23" s="10"/>
      <c r="H23" s="10"/>
      <c r="I23" s="10"/>
      <c r="J23" s="10"/>
      <c r="K23" s="10"/>
      <c r="L23" s="10"/>
    </row>
    <row r="24" spans="1:1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>
      <c r="A26" s="10" t="s">
        <v>159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>
      <c r="A27" s="10"/>
      <c r="B27" s="10"/>
      <c r="C27" s="10"/>
      <c r="D27" s="10"/>
      <c r="E27" s="10" t="s">
        <v>157</v>
      </c>
      <c r="F27" s="10" t="s">
        <v>158</v>
      </c>
      <c r="G27" s="10" t="s">
        <v>27</v>
      </c>
      <c r="H27" s="10" t="s">
        <v>1</v>
      </c>
      <c r="I27" s="10"/>
      <c r="J27" s="10"/>
      <c r="K27" s="10"/>
      <c r="L27" s="10"/>
    </row>
    <row r="28" spans="1:12">
      <c r="A28" s="10" t="s">
        <v>161</v>
      </c>
      <c r="B28" s="10"/>
      <c r="C28" s="10"/>
      <c r="D28" s="10"/>
      <c r="E28" s="10">
        <f>WaterMeterreading!B21</f>
        <v>232537</v>
      </c>
      <c r="F28" s="21">
        <f>WaterMeterreading!F21</f>
        <v>122028.5</v>
      </c>
      <c r="G28" s="21">
        <f>Rainwater!Q5</f>
        <v>25202.006160000001</v>
      </c>
      <c r="H28" s="21">
        <f>SUM(E28:G28)</f>
        <v>379767.50615999999</v>
      </c>
      <c r="I28" s="10"/>
      <c r="J28" s="10"/>
      <c r="K28" s="10"/>
      <c r="L28" s="10"/>
    </row>
    <row r="29" spans="1:12">
      <c r="A29" s="10" t="s">
        <v>162</v>
      </c>
      <c r="B29" s="10"/>
      <c r="C29" s="10"/>
      <c r="D29" s="10"/>
      <c r="E29" s="132">
        <f>E28/$H$28</f>
        <v>0.61231410330832714</v>
      </c>
      <c r="F29" s="132">
        <f>F28/$H$28</f>
        <v>0.32132422606105782</v>
      </c>
      <c r="G29" s="132">
        <f>G28/$H$28</f>
        <v>6.6361670630615072E-2</v>
      </c>
      <c r="H29" s="10"/>
      <c r="I29" s="10"/>
      <c r="J29" s="10"/>
      <c r="K29" s="10"/>
      <c r="L29" s="10"/>
    </row>
    <row r="32" spans="1:12">
      <c r="F32" s="9"/>
      <c r="G32" s="9"/>
      <c r="H32" s="9"/>
    </row>
    <row r="33" spans="5:8">
      <c r="E33" s="52"/>
      <c r="F33" s="52"/>
      <c r="G33" s="52"/>
    </row>
    <row r="36" spans="5:8">
      <c r="F36" s="9"/>
      <c r="G36" s="9"/>
      <c r="H36" s="9"/>
    </row>
    <row r="37" spans="5:8">
      <c r="E37" s="52"/>
      <c r="F37" s="52"/>
      <c r="G37" s="52"/>
    </row>
  </sheetData>
  <mergeCells count="1">
    <mergeCell ref="A1:H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"/>
  <sheetViews>
    <sheetView zoomScale="70" zoomScaleNormal="70" workbookViewId="0">
      <selection activeCell="O21" sqref="O21"/>
    </sheetView>
  </sheetViews>
  <sheetFormatPr defaultColWidth="8.88671875" defaultRowHeight="14.4"/>
  <cols>
    <col min="1" max="1" width="9" style="20" bestFit="1" customWidth="1"/>
    <col min="2" max="2" width="10.6640625" style="20" customWidth="1"/>
    <col min="3" max="3" width="11.5546875" style="20" bestFit="1" customWidth="1"/>
    <col min="4" max="12" width="11.5546875" style="20" customWidth="1"/>
    <col min="13" max="13" width="9" style="20" bestFit="1" customWidth="1"/>
    <col min="14" max="14" width="11.88671875" style="20" bestFit="1" customWidth="1"/>
    <col min="15" max="15" width="11.88671875" style="20" customWidth="1"/>
    <col min="16" max="16" width="9" style="20" bestFit="1" customWidth="1"/>
    <col min="17" max="17" width="14.33203125" style="20" bestFit="1" customWidth="1"/>
    <col min="18" max="16384" width="8.88671875" style="20"/>
  </cols>
  <sheetData>
    <row r="1" spans="1:26" ht="14.4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>
      <c r="A2" s="182" t="s">
        <v>272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51"/>
      <c r="P2" s="184" t="s">
        <v>39</v>
      </c>
      <c r="Q2" s="184"/>
      <c r="R2" s="43"/>
      <c r="S2" s="43"/>
      <c r="T2" s="43"/>
      <c r="U2" s="43"/>
      <c r="V2" s="43"/>
      <c r="W2" s="43"/>
      <c r="X2" s="43"/>
      <c r="Y2" s="43"/>
      <c r="Z2" s="43"/>
    </row>
    <row r="3" spans="1:26" ht="57.6">
      <c r="A3" s="44"/>
      <c r="B3" s="45"/>
      <c r="C3" s="45" t="s">
        <v>40</v>
      </c>
      <c r="D3" s="46" t="s">
        <v>45</v>
      </c>
      <c r="E3" s="46" t="s">
        <v>46</v>
      </c>
      <c r="F3" s="46" t="s">
        <v>154</v>
      </c>
      <c r="G3" s="46" t="s">
        <v>43</v>
      </c>
      <c r="H3" s="46" t="s">
        <v>44</v>
      </c>
      <c r="I3" s="46" t="s">
        <v>155</v>
      </c>
      <c r="J3" s="154" t="s">
        <v>268</v>
      </c>
      <c r="K3" s="154" t="s">
        <v>269</v>
      </c>
      <c r="L3" s="154" t="s">
        <v>270</v>
      </c>
      <c r="M3" s="46" t="s">
        <v>41</v>
      </c>
      <c r="N3" s="46" t="s">
        <v>42</v>
      </c>
      <c r="O3" s="46" t="s">
        <v>156</v>
      </c>
      <c r="P3" s="46" t="s">
        <v>47</v>
      </c>
      <c r="Q3" s="44"/>
      <c r="R3" s="46" t="s">
        <v>163</v>
      </c>
      <c r="S3" s="43"/>
      <c r="T3" s="43"/>
      <c r="U3" s="43"/>
      <c r="V3" s="43"/>
      <c r="W3" s="43"/>
      <c r="X3" s="43"/>
      <c r="Y3" s="43"/>
      <c r="Z3" s="43"/>
    </row>
    <row r="4" spans="1:26" ht="28.8">
      <c r="A4" s="44"/>
      <c r="B4" s="45"/>
      <c r="C4" s="45" t="s">
        <v>48</v>
      </c>
      <c r="D4" s="46" t="s">
        <v>49</v>
      </c>
      <c r="E4" s="46" t="s">
        <v>50</v>
      </c>
      <c r="F4" s="46" t="s">
        <v>120</v>
      </c>
      <c r="G4" s="46" t="s">
        <v>49</v>
      </c>
      <c r="H4" s="45" t="s">
        <v>28</v>
      </c>
      <c r="I4" s="46" t="s">
        <v>120</v>
      </c>
      <c r="J4" s="154"/>
      <c r="K4" s="154"/>
      <c r="L4" s="154"/>
      <c r="M4" s="46" t="s">
        <v>49</v>
      </c>
      <c r="N4" s="46" t="s">
        <v>50</v>
      </c>
      <c r="O4" s="46" t="s">
        <v>120</v>
      </c>
      <c r="P4" s="46" t="s">
        <v>51</v>
      </c>
      <c r="Q4" s="44" t="s">
        <v>52</v>
      </c>
      <c r="R4" s="46" t="s">
        <v>120</v>
      </c>
      <c r="S4" s="43"/>
      <c r="T4" s="43"/>
      <c r="U4" s="43"/>
      <c r="V4" s="43"/>
      <c r="W4" s="43"/>
      <c r="X4" s="43"/>
      <c r="Y4" s="43"/>
      <c r="Z4" s="43"/>
    </row>
    <row r="5" spans="1:26">
      <c r="A5" s="44">
        <v>1</v>
      </c>
      <c r="B5" s="45" t="s">
        <v>53</v>
      </c>
      <c r="C5" s="45">
        <v>5370</v>
      </c>
      <c r="D5" s="186">
        <v>145</v>
      </c>
      <c r="E5" s="176">
        <f>C9*D5/1000*0.8</f>
        <v>4866.5480000000007</v>
      </c>
      <c r="F5" s="177">
        <f>E5/(WaterMeterreading!C9+WaterMeterreading!F9)/30</f>
        <v>0.11780556765916245</v>
      </c>
      <c r="G5" s="189">
        <v>313</v>
      </c>
      <c r="H5" s="176">
        <f>C9*G5/1000*0.8</f>
        <v>10505.031200000001</v>
      </c>
      <c r="I5" s="177">
        <f>H5/(WaterMeterreading!C10+WaterMeterreading!F10)/31</f>
        <v>0.30806543108504403</v>
      </c>
      <c r="J5" s="189">
        <v>341</v>
      </c>
      <c r="K5" s="176">
        <f>C9*J5/1000*0.8</f>
        <v>11444.778400000001</v>
      </c>
      <c r="L5" s="177">
        <f>K5/(WaterMeterreading!C11+WaterMeterreading!F11)/31</f>
        <v>0.29323780778395553</v>
      </c>
      <c r="M5" s="185">
        <v>115</v>
      </c>
      <c r="N5" s="176">
        <f>C9*M5/1000*0.8</f>
        <v>3859.6760000000004</v>
      </c>
      <c r="O5" s="177">
        <f>N5/(WaterMeterreading!C12+WaterMeterreading!F12)/30</f>
        <v>9.2160362941738308E-2</v>
      </c>
      <c r="P5" s="185">
        <v>750.9</v>
      </c>
      <c r="Q5" s="178">
        <f>P5*C9*0.8/1000</f>
        <v>25202.006160000001</v>
      </c>
      <c r="R5" s="177">
        <f>Q5/(WaterMeterreading!B21+WaterMeterreading!F21)</f>
        <v>7.1078562804333764E-2</v>
      </c>
      <c r="S5" s="43"/>
      <c r="T5" s="43"/>
      <c r="U5" s="43"/>
      <c r="V5" s="43"/>
      <c r="W5" s="43"/>
      <c r="X5" s="43"/>
      <c r="Y5" s="43"/>
      <c r="Z5" s="43"/>
    </row>
    <row r="6" spans="1:26" ht="43.2">
      <c r="A6" s="44">
        <v>2</v>
      </c>
      <c r="B6" s="45" t="s">
        <v>54</v>
      </c>
      <c r="C6" s="45">
        <v>11038</v>
      </c>
      <c r="D6" s="187"/>
      <c r="E6" s="176"/>
      <c r="F6" s="177"/>
      <c r="G6" s="190"/>
      <c r="H6" s="176"/>
      <c r="I6" s="177"/>
      <c r="J6" s="190"/>
      <c r="K6" s="176"/>
      <c r="L6" s="177"/>
      <c r="M6" s="185"/>
      <c r="N6" s="176"/>
      <c r="O6" s="177"/>
      <c r="P6" s="185"/>
      <c r="Q6" s="179"/>
      <c r="R6" s="177"/>
      <c r="S6" s="43"/>
      <c r="T6" s="43"/>
      <c r="U6" s="43"/>
      <c r="V6" s="43"/>
      <c r="W6" s="43"/>
      <c r="X6" s="43"/>
      <c r="Y6" s="43"/>
      <c r="Z6" s="43"/>
    </row>
    <row r="7" spans="1:26">
      <c r="A7" s="44">
        <v>3</v>
      </c>
      <c r="B7" s="45" t="s">
        <v>55</v>
      </c>
      <c r="C7" s="45">
        <v>9122</v>
      </c>
      <c r="D7" s="187"/>
      <c r="E7" s="176"/>
      <c r="F7" s="177"/>
      <c r="G7" s="190"/>
      <c r="H7" s="176"/>
      <c r="I7" s="177"/>
      <c r="J7" s="190"/>
      <c r="K7" s="176"/>
      <c r="L7" s="177"/>
      <c r="M7" s="185"/>
      <c r="N7" s="176"/>
      <c r="O7" s="177"/>
      <c r="P7" s="185"/>
      <c r="Q7" s="179"/>
      <c r="R7" s="177"/>
      <c r="S7" s="47"/>
      <c r="T7" s="43"/>
      <c r="U7" s="43"/>
      <c r="V7" s="43"/>
      <c r="W7" s="43"/>
      <c r="X7" s="43"/>
      <c r="Y7" s="43"/>
      <c r="Z7" s="43"/>
    </row>
    <row r="8" spans="1:26">
      <c r="A8" s="44">
        <v>4</v>
      </c>
      <c r="B8" s="45" t="s">
        <v>56</v>
      </c>
      <c r="C8" s="45">
        <v>16423</v>
      </c>
      <c r="D8" s="187"/>
      <c r="E8" s="176"/>
      <c r="F8" s="177"/>
      <c r="G8" s="190"/>
      <c r="H8" s="176"/>
      <c r="I8" s="177"/>
      <c r="J8" s="190"/>
      <c r="K8" s="176"/>
      <c r="L8" s="177"/>
      <c r="M8" s="185"/>
      <c r="N8" s="176"/>
      <c r="O8" s="177"/>
      <c r="P8" s="185"/>
      <c r="Q8" s="179"/>
      <c r="R8" s="177"/>
      <c r="S8" s="43"/>
      <c r="T8" s="43"/>
      <c r="U8" s="43"/>
      <c r="V8" s="43"/>
      <c r="W8" s="43"/>
      <c r="X8" s="43"/>
      <c r="Y8" s="43"/>
      <c r="Z8" s="43"/>
    </row>
    <row r="9" spans="1:26">
      <c r="A9" s="44"/>
      <c r="B9" s="45" t="s">
        <v>1</v>
      </c>
      <c r="C9" s="48">
        <f>SUM(C5:C8)</f>
        <v>41953</v>
      </c>
      <c r="D9" s="188"/>
      <c r="E9" s="176"/>
      <c r="F9" s="177"/>
      <c r="G9" s="191"/>
      <c r="H9" s="176"/>
      <c r="I9" s="177"/>
      <c r="J9" s="191"/>
      <c r="K9" s="176"/>
      <c r="L9" s="177"/>
      <c r="M9" s="185"/>
      <c r="N9" s="176"/>
      <c r="O9" s="177"/>
      <c r="P9" s="185"/>
      <c r="Q9" s="180"/>
      <c r="R9" s="177"/>
      <c r="S9" s="43"/>
      <c r="T9" s="43"/>
      <c r="U9" s="43"/>
      <c r="V9" s="43"/>
      <c r="W9" s="43"/>
      <c r="X9" s="43"/>
      <c r="Y9" s="43"/>
      <c r="Z9" s="43"/>
    </row>
    <row r="10" spans="1:26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28.8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 t="s">
        <v>271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>
      <c r="A12" s="49" t="s">
        <v>57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158">
        <f>K5/(WaterMeterreading!C11)/31</f>
        <v>0.42241006864988562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>
      <c r="A13" s="5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>
      <c r="A14" s="4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>
      <c r="A15" s="181" t="s">
        <v>58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>
      <c r="A17" s="50" t="s">
        <v>59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>
      <c r="A19" s="50" t="s">
        <v>164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>
      <c r="A21" s="50" t="s">
        <v>60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</sheetData>
  <mergeCells count="18">
    <mergeCell ref="A2:N2"/>
    <mergeCell ref="P2:Q2"/>
    <mergeCell ref="M5:M9"/>
    <mergeCell ref="N5:N9"/>
    <mergeCell ref="O5:O9"/>
    <mergeCell ref="P5:P9"/>
    <mergeCell ref="D5:D9"/>
    <mergeCell ref="E5:E9"/>
    <mergeCell ref="G5:G9"/>
    <mergeCell ref="H5:H9"/>
    <mergeCell ref="F5:F9"/>
    <mergeCell ref="I5:I9"/>
    <mergeCell ref="J5:J9"/>
    <mergeCell ref="K5:K9"/>
    <mergeCell ref="L5:L9"/>
    <mergeCell ref="R5:R9"/>
    <mergeCell ref="Q5:Q9"/>
    <mergeCell ref="A15:Z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activeCell="B22" sqref="B22"/>
    </sheetView>
  </sheetViews>
  <sheetFormatPr defaultColWidth="9.109375" defaultRowHeight="13.8"/>
  <cols>
    <col min="1" max="1" width="13.5546875" style="17" customWidth="1"/>
    <col min="2" max="5" width="9.109375" style="17"/>
    <col min="6" max="6" width="14" style="17" customWidth="1"/>
    <col min="7" max="16384" width="9.109375" style="17"/>
  </cols>
  <sheetData>
    <row r="1" spans="1:7" ht="15.6">
      <c r="A1" s="192" t="s">
        <v>174</v>
      </c>
      <c r="B1" s="192"/>
      <c r="C1" s="192"/>
      <c r="D1" s="192"/>
      <c r="E1" s="192"/>
      <c r="F1" s="192"/>
      <c r="G1" s="18"/>
    </row>
    <row r="2" spans="1:7">
      <c r="A2" s="159"/>
      <c r="B2" s="193" t="s">
        <v>115</v>
      </c>
      <c r="C2" s="193"/>
      <c r="D2" s="193"/>
      <c r="E2" s="193"/>
      <c r="F2" s="193"/>
      <c r="G2" s="18"/>
    </row>
    <row r="3" spans="1:7" ht="41.4" customHeight="1">
      <c r="A3" s="159" t="s">
        <v>116</v>
      </c>
      <c r="B3" s="194" t="s">
        <v>117</v>
      </c>
      <c r="C3" s="195"/>
      <c r="D3" s="194" t="s">
        <v>118</v>
      </c>
      <c r="E3" s="195"/>
      <c r="F3" s="160" t="s">
        <v>1</v>
      </c>
      <c r="G3" s="18"/>
    </row>
    <row r="4" spans="1:7">
      <c r="A4" s="159"/>
      <c r="B4" s="159" t="s">
        <v>119</v>
      </c>
      <c r="C4" s="159" t="s">
        <v>120</v>
      </c>
      <c r="D4" s="159" t="s">
        <v>119</v>
      </c>
      <c r="E4" s="159" t="s">
        <v>120</v>
      </c>
      <c r="F4" s="159" t="s">
        <v>119</v>
      </c>
      <c r="G4" s="19"/>
    </row>
    <row r="5" spans="1:7">
      <c r="A5" s="161">
        <v>43101</v>
      </c>
      <c r="B5" s="159">
        <v>332356</v>
      </c>
      <c r="C5" s="162">
        <f t="shared" ref="C5:C15" si="0">B5/F5</f>
        <v>0.9025968030155721</v>
      </c>
      <c r="D5" s="163">
        <v>35866</v>
      </c>
      <c r="E5" s="162">
        <f t="shared" ref="E5:E15" si="1">D5/F5</f>
        <v>9.740319698442787E-2</v>
      </c>
      <c r="F5" s="163">
        <f t="shared" ref="F5:F15" si="2">B5+D5</f>
        <v>368222</v>
      </c>
      <c r="G5" s="18"/>
    </row>
    <row r="6" spans="1:7">
      <c r="A6" s="161">
        <v>43132</v>
      </c>
      <c r="B6" s="159">
        <v>330662</v>
      </c>
      <c r="C6" s="162">
        <f t="shared" si="0"/>
        <v>0.81214401678018011</v>
      </c>
      <c r="D6" s="163">
        <v>76485</v>
      </c>
      <c r="E6" s="162">
        <f t="shared" si="1"/>
        <v>0.18785598321981986</v>
      </c>
      <c r="F6" s="163">
        <f t="shared" si="2"/>
        <v>407147</v>
      </c>
      <c r="G6" s="18"/>
    </row>
    <row r="7" spans="1:7">
      <c r="A7" s="161">
        <v>43160</v>
      </c>
      <c r="B7" s="159">
        <v>423792</v>
      </c>
      <c r="C7" s="162">
        <f t="shared" si="0"/>
        <v>0.8632977455647699</v>
      </c>
      <c r="D7" s="163">
        <v>67107</v>
      </c>
      <c r="E7" s="162">
        <f t="shared" si="1"/>
        <v>0.13670225443523007</v>
      </c>
      <c r="F7" s="163">
        <f t="shared" si="2"/>
        <v>490899</v>
      </c>
      <c r="G7" s="18"/>
    </row>
    <row r="8" spans="1:7">
      <c r="A8" s="161">
        <v>43191</v>
      </c>
      <c r="B8" s="159">
        <v>505554</v>
      </c>
      <c r="C8" s="162">
        <f t="shared" si="0"/>
        <v>0.88569686649217416</v>
      </c>
      <c r="D8" s="163">
        <v>65244</v>
      </c>
      <c r="E8" s="162">
        <f t="shared" si="1"/>
        <v>0.11430313350782588</v>
      </c>
      <c r="F8" s="163">
        <f t="shared" si="2"/>
        <v>570798</v>
      </c>
      <c r="G8" s="18"/>
    </row>
    <row r="9" spans="1:7">
      <c r="A9" s="161">
        <v>43221</v>
      </c>
      <c r="B9" s="159">
        <v>494964</v>
      </c>
      <c r="C9" s="162">
        <f t="shared" si="0"/>
        <v>0.87348540732086954</v>
      </c>
      <c r="D9" s="163">
        <v>71690</v>
      </c>
      <c r="E9" s="162">
        <f t="shared" si="1"/>
        <v>0.12651459267913048</v>
      </c>
      <c r="F9" s="163">
        <f t="shared" si="2"/>
        <v>566654</v>
      </c>
      <c r="G9" s="18"/>
    </row>
    <row r="10" spans="1:7">
      <c r="A10" s="161">
        <v>43252</v>
      </c>
      <c r="B10" s="159">
        <v>555902</v>
      </c>
      <c r="C10" s="162">
        <f t="shared" si="0"/>
        <v>0.90006686927138402</v>
      </c>
      <c r="D10" s="163">
        <v>61721</v>
      </c>
      <c r="E10" s="162">
        <f t="shared" si="1"/>
        <v>9.9933130728615996E-2</v>
      </c>
      <c r="F10" s="163">
        <f t="shared" si="2"/>
        <v>617623</v>
      </c>
      <c r="G10" s="18"/>
    </row>
    <row r="11" spans="1:7">
      <c r="A11" s="161">
        <v>43282</v>
      </c>
      <c r="B11" s="159">
        <v>536014</v>
      </c>
      <c r="C11" s="162">
        <f t="shared" si="0"/>
        <v>0.93756767015271814</v>
      </c>
      <c r="D11" s="163">
        <v>35693</v>
      </c>
      <c r="E11" s="162">
        <f t="shared" si="1"/>
        <v>6.2432329847281913E-2</v>
      </c>
      <c r="F11" s="163">
        <f t="shared" si="2"/>
        <v>571707</v>
      </c>
      <c r="G11" s="18"/>
    </row>
    <row r="12" spans="1:7">
      <c r="A12" s="161">
        <v>43313</v>
      </c>
      <c r="B12" s="159">
        <v>573312</v>
      </c>
      <c r="C12" s="162">
        <f t="shared" si="0"/>
        <v>0.9342943886472489</v>
      </c>
      <c r="D12" s="163">
        <v>40319</v>
      </c>
      <c r="E12" s="162">
        <f t="shared" si="1"/>
        <v>6.5705611352751089E-2</v>
      </c>
      <c r="F12" s="163">
        <f t="shared" si="2"/>
        <v>613631</v>
      </c>
      <c r="G12" s="18"/>
    </row>
    <row r="13" spans="1:7">
      <c r="A13" s="161">
        <v>43344</v>
      </c>
      <c r="B13" s="159">
        <v>543702</v>
      </c>
      <c r="C13" s="162">
        <f t="shared" si="0"/>
        <v>0.91212924439672527</v>
      </c>
      <c r="D13" s="163">
        <v>52378</v>
      </c>
      <c r="E13" s="162">
        <f t="shared" si="1"/>
        <v>8.7870755603274731E-2</v>
      </c>
      <c r="F13" s="163">
        <f t="shared" si="2"/>
        <v>596080</v>
      </c>
      <c r="G13" s="18"/>
    </row>
    <row r="14" spans="1:7">
      <c r="A14" s="161">
        <v>43374</v>
      </c>
      <c r="B14" s="159">
        <v>479642</v>
      </c>
      <c r="C14" s="162">
        <f t="shared" si="0"/>
        <v>0.90375205144679993</v>
      </c>
      <c r="D14" s="163">
        <v>51081</v>
      </c>
      <c r="E14" s="162">
        <f t="shared" si="1"/>
        <v>9.6247948553200069E-2</v>
      </c>
      <c r="F14" s="163">
        <f t="shared" si="2"/>
        <v>530723</v>
      </c>
      <c r="G14" s="18"/>
    </row>
    <row r="15" spans="1:7">
      <c r="A15" s="161">
        <v>43405</v>
      </c>
      <c r="B15" s="159">
        <v>447862</v>
      </c>
      <c r="C15" s="162">
        <f t="shared" si="0"/>
        <v>0.88589762355947832</v>
      </c>
      <c r="D15" s="163">
        <v>57684</v>
      </c>
      <c r="E15" s="162">
        <f t="shared" si="1"/>
        <v>0.11410237644052174</v>
      </c>
      <c r="F15" s="163">
        <f t="shared" si="2"/>
        <v>505546</v>
      </c>
      <c r="G15" s="18"/>
    </row>
    <row r="16" spans="1:7">
      <c r="A16" s="164" t="s">
        <v>121</v>
      </c>
      <c r="B16" s="164">
        <f>AVERAGE(B5:B15)</f>
        <v>474887.45454545453</v>
      </c>
      <c r="C16" s="164">
        <f t="shared" ref="C16:F16" si="3">AVERAGE(C5:C15)</f>
        <v>0.89190260787708364</v>
      </c>
      <c r="D16" s="164">
        <f t="shared" si="3"/>
        <v>55933.454545454544</v>
      </c>
      <c r="E16" s="164">
        <f t="shared" si="3"/>
        <v>0.10809739212291633</v>
      </c>
      <c r="F16" s="164">
        <f t="shared" si="3"/>
        <v>530820.90909090906</v>
      </c>
    </row>
    <row r="17" spans="1:6">
      <c r="A17" s="164"/>
      <c r="B17" s="164"/>
      <c r="C17" s="164"/>
      <c r="D17" s="164"/>
      <c r="E17" s="164"/>
      <c r="F17" s="164"/>
    </row>
    <row r="18" spans="1:6">
      <c r="A18" s="165"/>
      <c r="B18" s="165" t="s">
        <v>172</v>
      </c>
      <c r="C18" s="165"/>
      <c r="D18" s="165" t="s">
        <v>173</v>
      </c>
      <c r="E18" s="165"/>
      <c r="F18" s="165" t="s">
        <v>1</v>
      </c>
    </row>
    <row r="19" spans="1:6">
      <c r="A19" s="165"/>
      <c r="B19" s="165">
        <f>SUM(B5:B15)</f>
        <v>5223762</v>
      </c>
      <c r="C19" s="165"/>
      <c r="D19" s="166">
        <f>SUM(D5:D15)</f>
        <v>615268</v>
      </c>
      <c r="E19" s="167">
        <f>D19/F19</f>
        <v>0.1053716113806574</v>
      </c>
      <c r="F19" s="165">
        <f>D19+B19</f>
        <v>5839030</v>
      </c>
    </row>
    <row r="20" spans="1:6">
      <c r="A20" s="165"/>
      <c r="B20" s="165"/>
      <c r="C20" s="165"/>
      <c r="D20" s="165"/>
      <c r="E20" s="165"/>
      <c r="F20" s="165"/>
    </row>
    <row r="21" spans="1:6">
      <c r="A21" s="165"/>
      <c r="B21" s="165" t="s">
        <v>258</v>
      </c>
      <c r="C21" s="165"/>
      <c r="D21" s="165"/>
      <c r="E21" s="165"/>
      <c r="F21" s="165"/>
    </row>
    <row r="22" spans="1:6">
      <c r="A22" s="165"/>
      <c r="B22" s="165">
        <f>SUM(Energyperm3!V4:V15)/WholecampusEnergy!F19</f>
        <v>5.1803112845798013E-2</v>
      </c>
      <c r="C22" s="165"/>
      <c r="D22" s="165"/>
      <c r="E22" s="165"/>
      <c r="F22" s="165"/>
    </row>
    <row r="23" spans="1:6">
      <c r="A23" s="165"/>
      <c r="B23" s="165"/>
      <c r="C23" s="165"/>
      <c r="D23" s="165"/>
      <c r="E23" s="165"/>
      <c r="F23" s="165"/>
    </row>
    <row r="24" spans="1:6">
      <c r="A24" s="165"/>
      <c r="B24" s="165"/>
      <c r="C24" s="165"/>
      <c r="D24" s="165"/>
      <c r="E24" s="165"/>
      <c r="F24" s="165"/>
    </row>
    <row r="25" spans="1:6">
      <c r="A25" s="165"/>
      <c r="B25" s="165"/>
      <c r="C25" s="165"/>
      <c r="D25" s="165"/>
      <c r="E25" s="165"/>
      <c r="F25" s="165"/>
    </row>
    <row r="26" spans="1:6">
      <c r="A26" s="165"/>
      <c r="B26" s="165"/>
      <c r="C26" s="165"/>
      <c r="D26" s="165"/>
      <c r="E26" s="165"/>
      <c r="F26" s="165"/>
    </row>
    <row r="27" spans="1:6">
      <c r="A27" s="165"/>
      <c r="B27" s="165"/>
      <c r="C27" s="165"/>
      <c r="D27" s="165"/>
      <c r="E27" s="165"/>
      <c r="F27" s="165"/>
    </row>
  </sheetData>
  <mergeCells count="4">
    <mergeCell ref="A1:F1"/>
    <mergeCell ref="B2:F2"/>
    <mergeCell ref="B3:C3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8"/>
  <sheetViews>
    <sheetView topLeftCell="U2" zoomScale="80" zoomScaleNormal="80" workbookViewId="0">
      <selection activeCell="U17" sqref="U17:W17"/>
    </sheetView>
  </sheetViews>
  <sheetFormatPr defaultRowHeight="14.4"/>
  <cols>
    <col min="1" max="1" width="21.5546875" style="2" customWidth="1"/>
    <col min="2" max="6" width="9" bestFit="1" customWidth="1"/>
    <col min="7" max="7" width="14.109375" bestFit="1" customWidth="1"/>
    <col min="8" max="9" width="9" bestFit="1" customWidth="1"/>
    <col min="10" max="10" width="9" customWidth="1"/>
    <col min="11" max="11" width="9.33203125" bestFit="1" customWidth="1"/>
    <col min="12" max="12" width="9" bestFit="1" customWidth="1"/>
    <col min="13" max="13" width="9" customWidth="1"/>
    <col min="14" max="14" width="9" bestFit="1" customWidth="1"/>
    <col min="26" max="26" width="23.109375" customWidth="1"/>
    <col min="27" max="27" width="10" customWidth="1"/>
  </cols>
  <sheetData>
    <row r="1" spans="1:27" s="2" customFormat="1" ht="60" customHeight="1" thickBot="1">
      <c r="A1" s="134"/>
      <c r="B1" s="135" t="s">
        <v>75</v>
      </c>
      <c r="C1" s="202" t="s">
        <v>84</v>
      </c>
      <c r="D1" s="202"/>
      <c r="E1" s="202"/>
      <c r="F1" s="202" t="s">
        <v>85</v>
      </c>
      <c r="G1" s="202"/>
      <c r="H1" s="202"/>
      <c r="I1" s="202" t="s">
        <v>86</v>
      </c>
      <c r="J1" s="202"/>
      <c r="K1" s="202"/>
      <c r="L1" s="202" t="s">
        <v>87</v>
      </c>
      <c r="M1" s="202"/>
      <c r="N1" s="202"/>
      <c r="O1" s="203" t="s">
        <v>83</v>
      </c>
      <c r="P1" s="203"/>
      <c r="Q1" s="203"/>
      <c r="R1" s="203" t="s">
        <v>273</v>
      </c>
      <c r="S1" s="203"/>
      <c r="T1" s="204"/>
      <c r="U1" s="200" t="s">
        <v>135</v>
      </c>
      <c r="V1" s="200"/>
      <c r="W1" s="200"/>
      <c r="X1" s="71"/>
      <c r="Z1" s="196" t="s">
        <v>214</v>
      </c>
      <c r="AA1" s="196"/>
    </row>
    <row r="2" spans="1:27" ht="115.2">
      <c r="A2" s="97" t="s">
        <v>61</v>
      </c>
      <c r="B2" s="98" t="s">
        <v>30</v>
      </c>
      <c r="C2" s="98" t="s">
        <v>65</v>
      </c>
      <c r="D2" s="99" t="s">
        <v>66</v>
      </c>
      <c r="E2" s="98" t="s">
        <v>68</v>
      </c>
      <c r="F2" s="99" t="s">
        <v>70</v>
      </c>
      <c r="G2" s="99" t="s">
        <v>71</v>
      </c>
      <c r="H2" s="98" t="s">
        <v>72</v>
      </c>
      <c r="I2" s="98" t="s">
        <v>132</v>
      </c>
      <c r="J2" s="100" t="s">
        <v>74</v>
      </c>
      <c r="K2" s="100" t="s">
        <v>79</v>
      </c>
      <c r="L2" s="98" t="s">
        <v>147</v>
      </c>
      <c r="M2" s="101" t="s">
        <v>73</v>
      </c>
      <c r="N2" s="99" t="s">
        <v>284</v>
      </c>
      <c r="O2" s="99" t="s">
        <v>70</v>
      </c>
      <c r="P2" s="102" t="s">
        <v>80</v>
      </c>
      <c r="Q2" s="99" t="s">
        <v>82</v>
      </c>
      <c r="R2" s="99" t="s">
        <v>81</v>
      </c>
      <c r="S2" s="102" t="s">
        <v>133</v>
      </c>
      <c r="T2" s="99" t="s">
        <v>88</v>
      </c>
      <c r="U2" s="103" t="s">
        <v>169</v>
      </c>
      <c r="V2" s="104" t="s">
        <v>136</v>
      </c>
      <c r="W2" s="103" t="s">
        <v>137</v>
      </c>
      <c r="X2" s="65"/>
      <c r="Z2">
        <f>0.019*Breakdownwaterdemand!D3*365</f>
        <v>6962.74</v>
      </c>
      <c r="AA2" t="s">
        <v>264</v>
      </c>
    </row>
    <row r="3" spans="1:27" ht="27.6">
      <c r="A3" s="97" t="s">
        <v>18</v>
      </c>
      <c r="B3" s="97" t="s">
        <v>30</v>
      </c>
      <c r="C3" s="105" t="s">
        <v>0</v>
      </c>
      <c r="D3" s="103" t="s">
        <v>67</v>
      </c>
      <c r="E3" s="105" t="s">
        <v>69</v>
      </c>
      <c r="F3" s="103" t="s">
        <v>0</v>
      </c>
      <c r="G3" s="103" t="s">
        <v>67</v>
      </c>
      <c r="H3" s="105" t="s">
        <v>69</v>
      </c>
      <c r="I3" s="105" t="s">
        <v>0</v>
      </c>
      <c r="J3" s="103" t="s">
        <v>67</v>
      </c>
      <c r="K3" s="103" t="s">
        <v>69</v>
      </c>
      <c r="L3" s="105" t="s">
        <v>0</v>
      </c>
      <c r="M3" s="106" t="s">
        <v>67</v>
      </c>
      <c r="N3" s="103" t="s">
        <v>69</v>
      </c>
      <c r="O3" s="105" t="s">
        <v>0</v>
      </c>
      <c r="P3" s="107" t="s">
        <v>67</v>
      </c>
      <c r="Q3" s="108" t="s">
        <v>69</v>
      </c>
      <c r="R3" s="108" t="s">
        <v>0</v>
      </c>
      <c r="S3" s="109" t="s">
        <v>67</v>
      </c>
      <c r="T3" s="108" t="s">
        <v>69</v>
      </c>
      <c r="U3" s="108" t="s">
        <v>0</v>
      </c>
      <c r="V3" s="109" t="s">
        <v>67</v>
      </c>
      <c r="W3" s="108" t="s">
        <v>69</v>
      </c>
      <c r="X3" s="65"/>
      <c r="Z3">
        <f>Z2/SUM(V4:V15)</f>
        <v>2.3018849548133657E-2</v>
      </c>
      <c r="AA3" t="s">
        <v>265</v>
      </c>
    </row>
    <row r="4" spans="1:27">
      <c r="A4" s="97" t="s">
        <v>5</v>
      </c>
      <c r="B4" s="138">
        <v>31</v>
      </c>
      <c r="C4" s="139">
        <f>WaterMeterreading!C4</f>
        <v>757</v>
      </c>
      <c r="D4" s="140">
        <v>8010</v>
      </c>
      <c r="E4" s="136">
        <f>D4/B4/C4</f>
        <v>0.34133037882984613</v>
      </c>
      <c r="F4" s="140">
        <f>WaterMeterreading!F4</f>
        <v>369</v>
      </c>
      <c r="G4" s="140">
        <v>3326</v>
      </c>
      <c r="H4" s="136">
        <f>G4/B4/F4</f>
        <v>0.29075968179036632</v>
      </c>
      <c r="I4" s="141">
        <f>WaterMeterreading!D4</f>
        <v>672</v>
      </c>
      <c r="J4" s="141">
        <v>1126</v>
      </c>
      <c r="K4" s="137">
        <f>J4/I4/B4</f>
        <v>5.4051459293394777E-2</v>
      </c>
      <c r="L4" s="141">
        <f>WaterMeterreading!E4</f>
        <v>574</v>
      </c>
      <c r="M4" s="149">
        <v>6876</v>
      </c>
      <c r="N4" s="136">
        <f>M4/L4/B4</f>
        <v>0.3864223895695178</v>
      </c>
      <c r="O4" s="142">
        <f t="shared" ref="O4:O15" si="0">F4</f>
        <v>369</v>
      </c>
      <c r="P4" s="142">
        <v>3308</v>
      </c>
      <c r="Q4" s="110">
        <f>P4/O4/B4</f>
        <v>0.28918611766762825</v>
      </c>
      <c r="R4" s="143">
        <f>WaterMeterreading!F4</f>
        <v>369</v>
      </c>
      <c r="S4" s="144">
        <v>839</v>
      </c>
      <c r="T4" s="110">
        <f>S4/B4/R4</f>
        <v>7.3345572165399081E-2</v>
      </c>
      <c r="U4" s="147">
        <f t="shared" ref="U4:U15" si="1">C4+F4</f>
        <v>1126</v>
      </c>
      <c r="V4" s="147">
        <f>D4+G4+J4+M4+P4+S4</f>
        <v>23485</v>
      </c>
      <c r="W4" s="148">
        <f t="shared" ref="W4" si="2">V4/U4/B4</f>
        <v>0.6728069672835616</v>
      </c>
      <c r="X4" s="65"/>
      <c r="Z4" s="9"/>
      <c r="AA4" s="52"/>
    </row>
    <row r="5" spans="1:27">
      <c r="A5" s="97" t="s">
        <v>6</v>
      </c>
      <c r="B5" s="138">
        <v>28</v>
      </c>
      <c r="C5" s="139">
        <f>WaterMeterreading!C5</f>
        <v>749</v>
      </c>
      <c r="D5" s="140">
        <v>7000</v>
      </c>
      <c r="E5" s="136">
        <f t="shared" ref="E5:E15" si="3">D5/B5/C5</f>
        <v>0.33377837116154874</v>
      </c>
      <c r="F5" s="140">
        <f>WaterMeterreading!F5</f>
        <v>364</v>
      </c>
      <c r="G5" s="140">
        <v>3416</v>
      </c>
      <c r="H5" s="136">
        <f t="shared" ref="H5:H15" si="4">G5/B5/F5</f>
        <v>0.33516483516483514</v>
      </c>
      <c r="I5" s="141">
        <f>WaterMeterreading!D5</f>
        <v>662</v>
      </c>
      <c r="J5" s="141">
        <v>960</v>
      </c>
      <c r="K5" s="137">
        <f t="shared" ref="K5:K15" si="5">J5/I5/B5</f>
        <v>5.1791109192921882E-2</v>
      </c>
      <c r="L5" s="141">
        <f>WaterMeterreading!E5</f>
        <v>567</v>
      </c>
      <c r="M5" s="149">
        <v>6159</v>
      </c>
      <c r="N5" s="136">
        <f t="shared" ref="N5:N15" si="6">M5/L5/B5</f>
        <v>0.38794406651549507</v>
      </c>
      <c r="O5" s="142">
        <f t="shared" si="0"/>
        <v>364</v>
      </c>
      <c r="P5" s="142">
        <v>3582</v>
      </c>
      <c r="Q5" s="110">
        <f t="shared" ref="Q5:Q15" si="7">P5/O5/B5</f>
        <v>0.35145211930926218</v>
      </c>
      <c r="R5" s="143">
        <f>WaterMeterreading!F5</f>
        <v>364</v>
      </c>
      <c r="S5" s="144">
        <v>1165</v>
      </c>
      <c r="T5" s="110">
        <f t="shared" ref="T5:T15" si="8">S5/B5/R5</f>
        <v>0.11430533751962323</v>
      </c>
      <c r="U5" s="147">
        <f t="shared" si="1"/>
        <v>1113</v>
      </c>
      <c r="V5" s="147">
        <f t="shared" ref="V5:V15" si="9">D5+G5+J5+M5+P5+S5</f>
        <v>22282</v>
      </c>
      <c r="W5" s="148">
        <f t="shared" ref="W5:W15" si="10">V5/U5/B5</f>
        <v>0.71499165704017453</v>
      </c>
      <c r="X5" s="65"/>
    </row>
    <row r="6" spans="1:27">
      <c r="A6" s="97" t="s">
        <v>7</v>
      </c>
      <c r="B6" s="138">
        <v>31</v>
      </c>
      <c r="C6" s="139">
        <f>WaterMeterreading!C6</f>
        <v>777</v>
      </c>
      <c r="D6" s="140">
        <v>7780</v>
      </c>
      <c r="E6" s="136">
        <f t="shared" si="3"/>
        <v>0.32299580686677459</v>
      </c>
      <c r="F6" s="140">
        <f>WaterMeterreading!F6</f>
        <v>360</v>
      </c>
      <c r="G6" s="140">
        <v>4797</v>
      </c>
      <c r="H6" s="136">
        <f t="shared" si="4"/>
        <v>0.42983870967741938</v>
      </c>
      <c r="I6" s="141">
        <f>WaterMeterreading!D6</f>
        <v>660</v>
      </c>
      <c r="J6" s="141">
        <v>1077</v>
      </c>
      <c r="K6" s="137">
        <f t="shared" si="5"/>
        <v>5.2639296187683288E-2</v>
      </c>
      <c r="L6" s="141">
        <f>WaterMeterreading!E6</f>
        <v>561</v>
      </c>
      <c r="M6" s="149">
        <v>7070</v>
      </c>
      <c r="N6" s="136">
        <f t="shared" si="6"/>
        <v>0.40653211431200043</v>
      </c>
      <c r="O6" s="142">
        <f t="shared" si="0"/>
        <v>360</v>
      </c>
      <c r="P6" s="142">
        <v>3613</v>
      </c>
      <c r="Q6" s="110">
        <f t="shared" si="7"/>
        <v>0.32374551971326165</v>
      </c>
      <c r="R6" s="143">
        <f>WaterMeterreading!F6</f>
        <v>360</v>
      </c>
      <c r="S6" s="144">
        <v>1514</v>
      </c>
      <c r="T6" s="110">
        <f t="shared" si="8"/>
        <v>0.13566308243727598</v>
      </c>
      <c r="U6" s="147">
        <f t="shared" si="1"/>
        <v>1137</v>
      </c>
      <c r="V6" s="147">
        <f t="shared" si="9"/>
        <v>25851</v>
      </c>
      <c r="W6" s="148">
        <f t="shared" si="10"/>
        <v>0.73342412120180434</v>
      </c>
      <c r="X6" s="65"/>
      <c r="Y6" s="133" t="s">
        <v>260</v>
      </c>
    </row>
    <row r="7" spans="1:27">
      <c r="A7" s="97" t="s">
        <v>8</v>
      </c>
      <c r="B7" s="139">
        <v>30</v>
      </c>
      <c r="C7" s="139">
        <f>WaterMeterreading!C7</f>
        <v>839</v>
      </c>
      <c r="D7" s="145">
        <v>8440</v>
      </c>
      <c r="E7" s="136">
        <f t="shared" si="3"/>
        <v>0.33531982518871672</v>
      </c>
      <c r="F7" s="140">
        <f>WaterMeterreading!F7</f>
        <v>345</v>
      </c>
      <c r="G7" s="145">
        <v>3654</v>
      </c>
      <c r="H7" s="136">
        <f t="shared" si="4"/>
        <v>0.35304347826086957</v>
      </c>
      <c r="I7" s="141">
        <f>WaterMeterreading!D7</f>
        <v>700</v>
      </c>
      <c r="J7" s="141">
        <v>1141</v>
      </c>
      <c r="K7" s="137">
        <f t="shared" si="5"/>
        <v>5.4333333333333331E-2</v>
      </c>
      <c r="L7" s="141">
        <f>WaterMeterreading!E7</f>
        <v>611</v>
      </c>
      <c r="M7" s="149">
        <v>7689</v>
      </c>
      <c r="N7" s="136">
        <f t="shared" si="6"/>
        <v>0.41947626841243862</v>
      </c>
      <c r="O7" s="142">
        <f t="shared" si="0"/>
        <v>345</v>
      </c>
      <c r="P7" s="142">
        <v>2820</v>
      </c>
      <c r="Q7" s="110">
        <f t="shared" si="7"/>
        <v>0.27246376811594203</v>
      </c>
      <c r="R7" s="143">
        <f>WaterMeterreading!F7</f>
        <v>345</v>
      </c>
      <c r="S7" s="144">
        <v>1380</v>
      </c>
      <c r="T7" s="110">
        <f t="shared" si="8"/>
        <v>0.13333333333333333</v>
      </c>
      <c r="U7" s="147">
        <f t="shared" si="1"/>
        <v>1184</v>
      </c>
      <c r="V7" s="147">
        <f t="shared" si="9"/>
        <v>25124</v>
      </c>
      <c r="W7" s="148">
        <f t="shared" si="10"/>
        <v>0.70731981981981973</v>
      </c>
      <c r="X7" s="65"/>
    </row>
    <row r="8" spans="1:27">
      <c r="A8" s="103" t="s">
        <v>62</v>
      </c>
      <c r="B8" s="138">
        <v>31</v>
      </c>
      <c r="C8" s="139">
        <f>WaterMeterreading!C8</f>
        <v>892</v>
      </c>
      <c r="D8" s="140">
        <v>9210</v>
      </c>
      <c r="E8" s="136">
        <f t="shared" si="3"/>
        <v>0.33306813250397804</v>
      </c>
      <c r="F8" s="140">
        <f>WaterMeterreading!F8</f>
        <v>311</v>
      </c>
      <c r="G8" s="140">
        <v>3447</v>
      </c>
      <c r="H8" s="136">
        <f t="shared" si="4"/>
        <v>0.35753552536043975</v>
      </c>
      <c r="I8" s="141">
        <f>WaterMeterreading!D8</f>
        <v>785</v>
      </c>
      <c r="J8" s="141">
        <v>1211</v>
      </c>
      <c r="K8" s="137">
        <f t="shared" si="5"/>
        <v>4.9763714814053832E-2</v>
      </c>
      <c r="L8" s="141">
        <f>WaterMeterreading!E8</f>
        <v>596</v>
      </c>
      <c r="M8" s="149">
        <v>8051</v>
      </c>
      <c r="N8" s="136">
        <f t="shared" si="6"/>
        <v>0.43575449231435376</v>
      </c>
      <c r="O8" s="142">
        <f t="shared" si="0"/>
        <v>311</v>
      </c>
      <c r="P8" s="142">
        <v>2436</v>
      </c>
      <c r="Q8" s="110">
        <f t="shared" si="7"/>
        <v>0.25267088476299138</v>
      </c>
      <c r="R8" s="143">
        <f>WaterMeterreading!F8</f>
        <v>311</v>
      </c>
      <c r="S8" s="144">
        <v>1362</v>
      </c>
      <c r="T8" s="110">
        <f t="shared" si="8"/>
        <v>0.14127165231822425</v>
      </c>
      <c r="U8" s="147">
        <f t="shared" si="1"/>
        <v>1203</v>
      </c>
      <c r="V8" s="147">
        <f t="shared" si="9"/>
        <v>25717</v>
      </c>
      <c r="W8" s="148">
        <f t="shared" si="10"/>
        <v>0.6895932212479553</v>
      </c>
      <c r="X8" s="65"/>
    </row>
    <row r="9" spans="1:27">
      <c r="A9" s="103" t="s">
        <v>63</v>
      </c>
      <c r="B9" s="138">
        <v>30</v>
      </c>
      <c r="C9" s="139">
        <f>WaterMeterreading!C9</f>
        <v>1034</v>
      </c>
      <c r="D9" s="140">
        <v>9830</v>
      </c>
      <c r="E9" s="136">
        <f t="shared" si="3"/>
        <v>0.31689232753062541</v>
      </c>
      <c r="F9" s="140">
        <f>WaterMeterreading!F9</f>
        <v>343</v>
      </c>
      <c r="G9" s="140">
        <v>2994</v>
      </c>
      <c r="H9" s="136">
        <f t="shared" si="4"/>
        <v>0.29096209912536442</v>
      </c>
      <c r="I9" s="141">
        <f>WaterMeterreading!D9</f>
        <v>854</v>
      </c>
      <c r="J9" s="141">
        <v>1557</v>
      </c>
      <c r="K9" s="137">
        <f t="shared" si="5"/>
        <v>6.0772833723653392E-2</v>
      </c>
      <c r="L9" s="141">
        <f>WaterMeterreading!E9</f>
        <v>596</v>
      </c>
      <c r="M9" s="149">
        <v>9608</v>
      </c>
      <c r="N9" s="136">
        <f t="shared" si="6"/>
        <v>0.53736017897091726</v>
      </c>
      <c r="O9" s="142">
        <f t="shared" si="0"/>
        <v>343</v>
      </c>
      <c r="P9" s="142">
        <v>2370</v>
      </c>
      <c r="Q9" s="110">
        <f t="shared" si="7"/>
        <v>0.23032069970845478</v>
      </c>
      <c r="R9" s="143">
        <f>WaterMeterreading!F9</f>
        <v>343</v>
      </c>
      <c r="S9" s="144">
        <v>1441</v>
      </c>
      <c r="T9" s="110">
        <f t="shared" si="8"/>
        <v>0.14003887269193391</v>
      </c>
      <c r="U9" s="147">
        <f t="shared" si="1"/>
        <v>1377</v>
      </c>
      <c r="V9" s="147">
        <f t="shared" si="9"/>
        <v>27800</v>
      </c>
      <c r="W9" s="148">
        <f t="shared" si="10"/>
        <v>0.67296054224158797</v>
      </c>
      <c r="X9" s="65"/>
    </row>
    <row r="10" spans="1:27">
      <c r="A10" s="97" t="s">
        <v>9</v>
      </c>
      <c r="B10" s="138">
        <v>31</v>
      </c>
      <c r="C10" s="139">
        <f>WaterMeterreading!C10</f>
        <v>758</v>
      </c>
      <c r="D10" s="140">
        <v>11619</v>
      </c>
      <c r="E10" s="136">
        <f t="shared" si="3"/>
        <v>0.49446761426504382</v>
      </c>
      <c r="F10" s="140">
        <f>WaterMeterreading!F10</f>
        <v>342</v>
      </c>
      <c r="G10" s="140">
        <v>1754</v>
      </c>
      <c r="H10" s="136">
        <f t="shared" si="4"/>
        <v>0.16544048292774949</v>
      </c>
      <c r="I10" s="141">
        <f>WaterMeterreading!D10</f>
        <v>637</v>
      </c>
      <c r="J10" s="141">
        <v>1585.93</v>
      </c>
      <c r="K10" s="137">
        <f t="shared" si="5"/>
        <v>8.03124525244341E-2</v>
      </c>
      <c r="L10" s="141">
        <f>WaterMeterreading!E10</f>
        <v>581</v>
      </c>
      <c r="M10" s="149">
        <v>8813</v>
      </c>
      <c r="N10" s="136">
        <f t="shared" si="6"/>
        <v>0.48931208705790907</v>
      </c>
      <c r="O10" s="142">
        <f t="shared" si="0"/>
        <v>342</v>
      </c>
      <c r="P10" s="142">
        <v>2404</v>
      </c>
      <c r="Q10" s="110">
        <f t="shared" si="7"/>
        <v>0.22674966987360876</v>
      </c>
      <c r="R10" s="143">
        <f>WaterMeterreading!F10</f>
        <v>342</v>
      </c>
      <c r="S10" s="144">
        <v>642</v>
      </c>
      <c r="T10" s="110">
        <f t="shared" si="8"/>
        <v>6.0554612337294852E-2</v>
      </c>
      <c r="U10" s="147">
        <f t="shared" si="1"/>
        <v>1100</v>
      </c>
      <c r="V10" s="147">
        <f t="shared" si="9"/>
        <v>26817.93</v>
      </c>
      <c r="W10" s="148">
        <f t="shared" si="10"/>
        <v>0.78644956011730205</v>
      </c>
      <c r="X10" s="65"/>
    </row>
    <row r="11" spans="1:27">
      <c r="A11" s="97" t="s">
        <v>23</v>
      </c>
      <c r="B11" s="138">
        <v>31</v>
      </c>
      <c r="C11" s="139">
        <f>WaterMeterreading!C11</f>
        <v>874</v>
      </c>
      <c r="D11" s="146">
        <f>AVERAGE(D10,D13)</f>
        <v>10134.5</v>
      </c>
      <c r="E11" s="136">
        <f t="shared" si="3"/>
        <v>0.37404960507861523</v>
      </c>
      <c r="F11" s="140">
        <f>WaterMeterreading!F11</f>
        <v>385</v>
      </c>
      <c r="G11" s="145">
        <v>2893</v>
      </c>
      <c r="H11" s="136">
        <f t="shared" si="4"/>
        <v>0.24239631336405532</v>
      </c>
      <c r="I11" s="141">
        <f>WaterMeterreading!D11</f>
        <v>767</v>
      </c>
      <c r="J11" s="141">
        <v>265</v>
      </c>
      <c r="K11" s="137">
        <f t="shared" si="5"/>
        <v>1.1145224376498297E-2</v>
      </c>
      <c r="L11" s="141">
        <f>WaterMeterreading!E11</f>
        <v>690</v>
      </c>
      <c r="M11" s="149">
        <v>8062</v>
      </c>
      <c r="N11" s="136">
        <f t="shared" si="6"/>
        <v>0.3769050958391772</v>
      </c>
      <c r="O11" s="142">
        <f t="shared" si="0"/>
        <v>385</v>
      </c>
      <c r="P11" s="142">
        <v>2454</v>
      </c>
      <c r="Q11" s="110">
        <f t="shared" si="7"/>
        <v>0.20561374109761207</v>
      </c>
      <c r="R11" s="143">
        <f>WaterMeterreading!F11</f>
        <v>385</v>
      </c>
      <c r="S11" s="144">
        <v>1168</v>
      </c>
      <c r="T11" s="110">
        <f t="shared" si="8"/>
        <v>9.786342689568496E-2</v>
      </c>
      <c r="U11" s="147">
        <f t="shared" si="1"/>
        <v>1259</v>
      </c>
      <c r="V11" s="147">
        <f t="shared" si="9"/>
        <v>24976.5</v>
      </c>
      <c r="W11" s="148">
        <f t="shared" si="10"/>
        <v>0.63994721873478688</v>
      </c>
      <c r="X11" s="65"/>
    </row>
    <row r="12" spans="1:27">
      <c r="A12" s="97" t="s">
        <v>24</v>
      </c>
      <c r="B12" s="138">
        <v>30</v>
      </c>
      <c r="C12" s="139">
        <f>WaterMeterreading!C12</f>
        <v>1000</v>
      </c>
      <c r="D12" s="146">
        <f>AVERAGE(D10,D13)</f>
        <v>10134.5</v>
      </c>
      <c r="E12" s="136">
        <f t="shared" si="3"/>
        <v>0.33781666666666665</v>
      </c>
      <c r="F12" s="140">
        <f>WaterMeterreading!F12</f>
        <v>396</v>
      </c>
      <c r="G12" s="145">
        <v>1810</v>
      </c>
      <c r="H12" s="136">
        <f t="shared" si="4"/>
        <v>0.15235690235690236</v>
      </c>
      <c r="I12" s="141">
        <f>WaterMeterreading!D12</f>
        <v>789</v>
      </c>
      <c r="J12" s="141">
        <v>774</v>
      </c>
      <c r="K12" s="137">
        <f t="shared" si="5"/>
        <v>3.2699619771863114E-2</v>
      </c>
      <c r="L12" s="141">
        <f>WaterMeterreading!E12</f>
        <v>693</v>
      </c>
      <c r="M12" s="149">
        <v>9056</v>
      </c>
      <c r="N12" s="136">
        <f t="shared" si="6"/>
        <v>0.43559403559403559</v>
      </c>
      <c r="O12" s="142">
        <f t="shared" si="0"/>
        <v>396</v>
      </c>
      <c r="P12" s="142">
        <v>2817</v>
      </c>
      <c r="Q12" s="110">
        <f t="shared" si="7"/>
        <v>0.23712121212121212</v>
      </c>
      <c r="R12" s="143">
        <f>WaterMeterreading!F12</f>
        <v>396</v>
      </c>
      <c r="S12" s="144">
        <v>840</v>
      </c>
      <c r="T12" s="110">
        <f t="shared" si="8"/>
        <v>7.0707070707070704E-2</v>
      </c>
      <c r="U12" s="147">
        <f t="shared" si="1"/>
        <v>1396</v>
      </c>
      <c r="V12" s="147">
        <f t="shared" si="9"/>
        <v>25431.5</v>
      </c>
      <c r="W12" s="148">
        <f t="shared" si="10"/>
        <v>0.60724689589302772</v>
      </c>
      <c r="X12" s="65"/>
    </row>
    <row r="13" spans="1:27">
      <c r="A13" s="103" t="s">
        <v>25</v>
      </c>
      <c r="B13" s="138">
        <v>31</v>
      </c>
      <c r="C13" s="139">
        <f>WaterMeterreading!C13</f>
        <v>952.5</v>
      </c>
      <c r="D13" s="145">
        <v>8650</v>
      </c>
      <c r="E13" s="136">
        <f t="shared" si="3"/>
        <v>0.29294725256117182</v>
      </c>
      <c r="F13" s="140">
        <f>WaterMeterreading!F13</f>
        <v>372.5</v>
      </c>
      <c r="G13" s="145">
        <v>2209</v>
      </c>
      <c r="H13" s="136">
        <f t="shared" si="4"/>
        <v>0.19129681749296387</v>
      </c>
      <c r="I13" s="141">
        <f>WaterMeterreading!D13</f>
        <v>773.5</v>
      </c>
      <c r="J13" s="141">
        <v>764</v>
      </c>
      <c r="K13" s="137">
        <f t="shared" si="5"/>
        <v>3.1861876264153308E-2</v>
      </c>
      <c r="L13" s="141">
        <f>WaterMeterreading!E13</f>
        <v>698</v>
      </c>
      <c r="M13" s="149">
        <v>9389</v>
      </c>
      <c r="N13" s="136">
        <f t="shared" si="6"/>
        <v>0.4339125612348646</v>
      </c>
      <c r="O13" s="142">
        <f t="shared" si="0"/>
        <v>372.5</v>
      </c>
      <c r="P13" s="142">
        <v>3770</v>
      </c>
      <c r="Q13" s="110">
        <f t="shared" si="7"/>
        <v>0.32647759255250053</v>
      </c>
      <c r="R13" s="143">
        <f>WaterMeterreading!F13</f>
        <v>372.5</v>
      </c>
      <c r="S13" s="144">
        <v>1494</v>
      </c>
      <c r="T13" s="110">
        <f t="shared" si="8"/>
        <v>0.12937865338817928</v>
      </c>
      <c r="U13" s="147">
        <f t="shared" si="1"/>
        <v>1325</v>
      </c>
      <c r="V13" s="147">
        <f t="shared" si="9"/>
        <v>26276</v>
      </c>
      <c r="W13" s="148">
        <f t="shared" si="10"/>
        <v>0.63970785149117471</v>
      </c>
      <c r="X13" s="65"/>
    </row>
    <row r="14" spans="1:27">
      <c r="A14" s="97" t="s">
        <v>26</v>
      </c>
      <c r="B14" s="138">
        <v>30</v>
      </c>
      <c r="C14" s="139">
        <f>WaterMeterreading!C14</f>
        <v>905</v>
      </c>
      <c r="D14" s="145">
        <v>8990</v>
      </c>
      <c r="E14" s="136">
        <f t="shared" si="3"/>
        <v>0.33112338858195212</v>
      </c>
      <c r="F14" s="140">
        <f>WaterMeterreading!F14</f>
        <v>349</v>
      </c>
      <c r="G14" s="145">
        <v>2256</v>
      </c>
      <c r="H14" s="136">
        <f t="shared" si="4"/>
        <v>0.21547277936962753</v>
      </c>
      <c r="I14" s="141">
        <f>WaterMeterreading!D14</f>
        <v>758</v>
      </c>
      <c r="J14" s="141">
        <v>939</v>
      </c>
      <c r="K14" s="137">
        <f t="shared" si="5"/>
        <v>4.1292875989445907E-2</v>
      </c>
      <c r="L14" s="141">
        <f>WaterMeterreading!E14</f>
        <v>703</v>
      </c>
      <c r="M14" s="149">
        <v>8481</v>
      </c>
      <c r="N14" s="136">
        <f t="shared" si="6"/>
        <v>0.40213371266002845</v>
      </c>
      <c r="O14" s="142">
        <f t="shared" si="0"/>
        <v>349</v>
      </c>
      <c r="P14" s="142">
        <v>3034</v>
      </c>
      <c r="Q14" s="110">
        <f t="shared" si="7"/>
        <v>0.28978032473734483</v>
      </c>
      <c r="R14" s="143">
        <f>WaterMeterreading!F14</f>
        <v>349</v>
      </c>
      <c r="S14" s="144">
        <v>1867</v>
      </c>
      <c r="T14" s="110">
        <f t="shared" si="8"/>
        <v>0.17831900668576886</v>
      </c>
      <c r="U14" s="147">
        <f t="shared" si="1"/>
        <v>1254</v>
      </c>
      <c r="V14" s="147">
        <f t="shared" si="9"/>
        <v>25567</v>
      </c>
      <c r="W14" s="148">
        <f t="shared" si="10"/>
        <v>0.679611908559277</v>
      </c>
      <c r="X14" s="65"/>
    </row>
    <row r="15" spans="1:27">
      <c r="A15" s="103" t="s">
        <v>64</v>
      </c>
      <c r="B15" s="138">
        <v>31</v>
      </c>
      <c r="C15" s="139">
        <f>WaterMeterreading!C15</f>
        <v>764</v>
      </c>
      <c r="D15" s="149">
        <v>7790</v>
      </c>
      <c r="E15" s="136">
        <f t="shared" si="3"/>
        <v>0.32891403479142034</v>
      </c>
      <c r="F15" s="140">
        <f>WaterMeterreading!F15</f>
        <v>105</v>
      </c>
      <c r="G15" s="149">
        <v>1500</v>
      </c>
      <c r="H15" s="136">
        <f t="shared" si="4"/>
        <v>0.46082949308755761</v>
      </c>
      <c r="I15" s="141">
        <f>WaterMeterreading!D15</f>
        <v>674</v>
      </c>
      <c r="J15" s="141">
        <v>713</v>
      </c>
      <c r="K15" s="137">
        <f t="shared" si="5"/>
        <v>3.4124629080118693E-2</v>
      </c>
      <c r="L15" s="141">
        <f>WaterMeterreading!E15</f>
        <v>703</v>
      </c>
      <c r="M15" s="149">
        <v>8775</v>
      </c>
      <c r="N15" s="136">
        <f t="shared" si="6"/>
        <v>0.40265222777956222</v>
      </c>
      <c r="O15" s="142">
        <f t="shared" si="0"/>
        <v>105</v>
      </c>
      <c r="P15" s="142">
        <v>2972</v>
      </c>
      <c r="Q15" s="110">
        <f t="shared" si="7"/>
        <v>0.91305683563748075</v>
      </c>
      <c r="R15" s="143">
        <f>WaterMeterreading!F15</f>
        <v>105</v>
      </c>
      <c r="S15" s="149">
        <v>1402</v>
      </c>
      <c r="T15" s="110">
        <f t="shared" si="8"/>
        <v>0.43072196620583719</v>
      </c>
      <c r="U15" s="147">
        <f t="shared" si="1"/>
        <v>869</v>
      </c>
      <c r="V15" s="147">
        <f t="shared" si="9"/>
        <v>23152</v>
      </c>
      <c r="W15" s="148">
        <f t="shared" si="10"/>
        <v>0.85942314117079333</v>
      </c>
      <c r="X15" s="65"/>
      <c r="Y15" t="s">
        <v>263</v>
      </c>
    </row>
    <row r="16" spans="1:27">
      <c r="A16" s="97" t="s">
        <v>285</v>
      </c>
      <c r="B16" s="139"/>
      <c r="C16" s="145">
        <f t="shared" ref="C16:W16" si="11">AVERAGE(C4:C15)</f>
        <v>858.45833333333337</v>
      </c>
      <c r="D16" s="145">
        <f t="shared" si="11"/>
        <v>8965.6666666666661</v>
      </c>
      <c r="E16" s="111">
        <f t="shared" si="11"/>
        <v>0.34522528366886335</v>
      </c>
      <c r="F16" s="145">
        <f t="shared" si="11"/>
        <v>336.79166666666669</v>
      </c>
      <c r="G16" s="145">
        <f t="shared" si="11"/>
        <v>2838</v>
      </c>
      <c r="H16" s="111">
        <f t="shared" si="11"/>
        <v>0.29042475983151261</v>
      </c>
      <c r="I16" s="145">
        <f t="shared" si="11"/>
        <v>727.625</v>
      </c>
      <c r="J16" s="145">
        <f t="shared" si="11"/>
        <v>1009.4108333333334</v>
      </c>
      <c r="K16" s="111">
        <f t="shared" si="11"/>
        <v>4.62323687126295E-2</v>
      </c>
      <c r="L16" s="145">
        <f t="shared" si="11"/>
        <v>631.08333333333337</v>
      </c>
      <c r="M16" s="145">
        <f t="shared" si="11"/>
        <v>8169.083333333333</v>
      </c>
      <c r="N16" s="111">
        <f t="shared" si="11"/>
        <v>0.4261666025216917</v>
      </c>
      <c r="O16" s="145">
        <f t="shared" si="11"/>
        <v>336.79166666666669</v>
      </c>
      <c r="P16" s="145">
        <f t="shared" si="11"/>
        <v>2965</v>
      </c>
      <c r="Q16" s="111">
        <f t="shared" si="11"/>
        <v>0.32655320710810831</v>
      </c>
      <c r="R16" s="145">
        <f t="shared" si="11"/>
        <v>336.79166666666669</v>
      </c>
      <c r="S16" s="145">
        <f t="shared" si="11"/>
        <v>1259.5</v>
      </c>
      <c r="T16" s="111">
        <f t="shared" si="11"/>
        <v>0.14212521555713548</v>
      </c>
      <c r="U16" s="145">
        <f t="shared" si="11"/>
        <v>1195.25</v>
      </c>
      <c r="V16" s="147">
        <f>D16+G16+J16+M16+P16+S16</f>
        <v>25206.660833333332</v>
      </c>
      <c r="W16" s="111">
        <f t="shared" si="11"/>
        <v>0.70029024206677215</v>
      </c>
      <c r="X16" s="65"/>
      <c r="Y16" s="152">
        <f>SUM(V4:V15)/365/Breakdownwaterdemand!E3</f>
        <v>0.33578287560222908</v>
      </c>
    </row>
    <row r="17" spans="1:24">
      <c r="A17" s="103" t="s">
        <v>75</v>
      </c>
      <c r="B17" s="105"/>
      <c r="C17" s="205" t="s">
        <v>76</v>
      </c>
      <c r="D17" s="206"/>
      <c r="E17" s="207"/>
      <c r="F17" s="205" t="s">
        <v>77</v>
      </c>
      <c r="G17" s="206"/>
      <c r="H17" s="207"/>
      <c r="I17" s="205" t="s">
        <v>78</v>
      </c>
      <c r="J17" s="206"/>
      <c r="K17" s="207"/>
      <c r="L17" s="205" t="s">
        <v>89</v>
      </c>
      <c r="M17" s="206"/>
      <c r="N17" s="207"/>
      <c r="O17" s="197" t="s">
        <v>90</v>
      </c>
      <c r="P17" s="198"/>
      <c r="Q17" s="199"/>
      <c r="R17" s="197" t="s">
        <v>91</v>
      </c>
      <c r="S17" s="198"/>
      <c r="T17" s="199"/>
      <c r="U17" s="197"/>
      <c r="V17" s="198"/>
      <c r="W17" s="199"/>
      <c r="X17" s="65"/>
    </row>
    <row r="18" spans="1:24">
      <c r="A18" s="71" t="s">
        <v>134</v>
      </c>
      <c r="B18" s="65"/>
      <c r="C18" s="65"/>
      <c r="D18" s="65"/>
      <c r="E18" s="96">
        <f>E16*846*(1-$B$22)</f>
        <v>261.28569499647375</v>
      </c>
      <c r="F18" s="65"/>
      <c r="G18" s="65"/>
      <c r="H18" s="96">
        <f>H16*846*(1-$B$22)</f>
        <v>219.80961072812894</v>
      </c>
      <c r="I18" s="65"/>
      <c r="J18" s="65"/>
      <c r="K18" s="96">
        <f>K16*846*(1-$B$22)</f>
        <v>34.991227936826043</v>
      </c>
      <c r="L18" s="65"/>
      <c r="M18" s="65"/>
      <c r="N18" s="96">
        <f>N16*846*(1-$B$22)</f>
        <v>322.5465867991673</v>
      </c>
      <c r="O18" s="65"/>
      <c r="P18" s="65"/>
      <c r="Q18" s="96">
        <f>Q16*846*(1-$B$22)</f>
        <v>247.15362897467017</v>
      </c>
      <c r="R18" s="65"/>
      <c r="S18" s="65"/>
      <c r="T18" s="96">
        <f>T16*846*(1-$B$22)</f>
        <v>107.56826767934409</v>
      </c>
      <c r="U18" s="65"/>
      <c r="V18" s="65"/>
      <c r="W18" s="96">
        <f>W16*846*(1-$B$22)</f>
        <v>530.01860307883464</v>
      </c>
      <c r="X18" s="65"/>
    </row>
    <row r="19" spans="1:24" ht="18" customHeight="1">
      <c r="A19" s="71" t="s">
        <v>188</v>
      </c>
      <c r="B19" s="65"/>
      <c r="C19" s="65"/>
      <c r="D19" s="52">
        <f>D16/$V$16</f>
        <v>0.35568640868172641</v>
      </c>
      <c r="E19" s="96"/>
      <c r="F19" s="65"/>
      <c r="G19" s="52">
        <f>G16/$V$16</f>
        <v>0.1125892881554158</v>
      </c>
      <c r="H19" s="96"/>
      <c r="I19" s="65"/>
      <c r="J19" s="52">
        <f>J16/$V$16</f>
        <v>4.0045400698155417E-2</v>
      </c>
      <c r="K19" s="96"/>
      <c r="L19" s="65"/>
      <c r="M19" s="52">
        <f>M16/$V$16</f>
        <v>0.32408431197402088</v>
      </c>
      <c r="N19" s="96"/>
      <c r="O19" s="65"/>
      <c r="P19" s="52">
        <f>P16/$V$16</f>
        <v>0.11762763896434386</v>
      </c>
      <c r="Q19" s="96"/>
      <c r="R19" s="52"/>
      <c r="S19" s="52">
        <f>S16/$V$16</f>
        <v>4.9966951526337636E-2</v>
      </c>
      <c r="T19" s="96"/>
      <c r="U19" s="65"/>
      <c r="V19" s="169">
        <f>SUM(D19:S19)</f>
        <v>1</v>
      </c>
      <c r="W19" s="96"/>
      <c r="X19" s="65"/>
    </row>
    <row r="20" spans="1:24">
      <c r="V20" s="9"/>
    </row>
    <row r="21" spans="1:24" s="65" customFormat="1" ht="28.8">
      <c r="A21" s="63" t="s">
        <v>170</v>
      </c>
      <c r="B21" s="64">
        <v>846</v>
      </c>
      <c r="C21" s="64"/>
      <c r="D21" s="64"/>
      <c r="E21" s="64"/>
      <c r="F21" s="64"/>
      <c r="G21" s="64"/>
      <c r="H21" s="64"/>
      <c r="I21" s="64"/>
      <c r="J21" s="64"/>
    </row>
    <row r="22" spans="1:24" s="65" customFormat="1" ht="28.95" customHeight="1">
      <c r="A22" s="66" t="s">
        <v>171</v>
      </c>
      <c r="B22" s="68">
        <f>WholecampusEnergy!E19</f>
        <v>0.1053716113806574</v>
      </c>
      <c r="C22" s="66"/>
      <c r="D22" s="66"/>
      <c r="E22" s="201"/>
      <c r="F22" s="201"/>
      <c r="G22" s="67"/>
      <c r="H22" s="66"/>
      <c r="I22" s="64"/>
      <c r="J22" s="64"/>
    </row>
    <row r="23" spans="1:24">
      <c r="A23" s="54"/>
      <c r="B23" s="54"/>
      <c r="C23" s="54"/>
      <c r="D23" s="54"/>
      <c r="E23" s="54"/>
      <c r="F23" s="54"/>
      <c r="G23" s="54"/>
      <c r="H23" s="54"/>
      <c r="I23" s="36"/>
      <c r="J23" s="36"/>
    </row>
    <row r="24" spans="1:24" ht="28.8">
      <c r="A24" s="73" t="s">
        <v>180</v>
      </c>
      <c r="B24" s="91">
        <f>B21*(1-B22)</f>
        <v>756.85561677196381</v>
      </c>
      <c r="C24" s="56"/>
      <c r="D24" s="56"/>
      <c r="E24" s="54"/>
      <c r="F24" s="54"/>
      <c r="G24" s="57"/>
      <c r="H24" s="54"/>
      <c r="I24" s="36"/>
      <c r="J24" s="36"/>
    </row>
    <row r="25" spans="1:24">
      <c r="A25" s="54"/>
      <c r="B25" s="56"/>
      <c r="C25" s="56"/>
      <c r="D25" s="56"/>
      <c r="E25" s="56"/>
      <c r="F25" s="56"/>
      <c r="G25" s="57"/>
      <c r="H25" s="58"/>
      <c r="I25" s="36"/>
      <c r="J25" s="36"/>
    </row>
    <row r="26" spans="1:24">
      <c r="A26" s="54"/>
      <c r="B26" s="56"/>
      <c r="C26" s="56"/>
      <c r="D26" s="56"/>
      <c r="E26" s="56"/>
      <c r="F26" s="56"/>
      <c r="G26" s="57"/>
      <c r="H26" s="54"/>
      <c r="I26" s="36"/>
      <c r="J26" s="36"/>
    </row>
    <row r="27" spans="1:24">
      <c r="A27" s="54"/>
      <c r="B27" s="56"/>
      <c r="C27" s="56"/>
      <c r="D27" s="56"/>
      <c r="E27" s="56"/>
      <c r="F27" s="56"/>
      <c r="G27" s="57"/>
      <c r="H27" s="55"/>
      <c r="I27" s="36"/>
      <c r="J27" s="36"/>
    </row>
    <row r="28" spans="1:24">
      <c r="A28" s="54"/>
      <c r="B28" s="56"/>
      <c r="C28" s="56"/>
      <c r="D28" s="56"/>
      <c r="E28" s="56"/>
      <c r="F28" s="56"/>
      <c r="G28" s="57"/>
      <c r="H28" s="54"/>
      <c r="I28" s="36"/>
      <c r="J28" s="36"/>
    </row>
    <row r="29" spans="1:24">
      <c r="A29" s="59"/>
      <c r="B29" s="60"/>
      <c r="C29" s="60"/>
      <c r="D29" s="56"/>
      <c r="E29" s="60"/>
      <c r="F29" s="60"/>
      <c r="G29" s="57"/>
      <c r="H29" s="54"/>
      <c r="I29" s="36"/>
      <c r="J29" s="36"/>
    </row>
    <row r="30" spans="1:24">
      <c r="A30" s="54"/>
      <c r="B30" s="56"/>
      <c r="C30" s="56"/>
      <c r="D30" s="56"/>
      <c r="E30" s="56"/>
      <c r="F30" s="56"/>
      <c r="G30" s="57"/>
      <c r="H30" s="54"/>
      <c r="I30" s="36"/>
      <c r="J30" s="36"/>
    </row>
    <row r="31" spans="1:24">
      <c r="A31" s="54"/>
      <c r="B31" s="56"/>
      <c r="C31" s="56"/>
      <c r="D31" s="56"/>
      <c r="E31" s="56"/>
      <c r="F31" s="56"/>
      <c r="G31" s="57"/>
      <c r="H31" s="54"/>
      <c r="I31" s="36"/>
      <c r="J31" s="36"/>
    </row>
    <row r="32" spans="1:24">
      <c r="A32" s="54"/>
      <c r="B32" s="56"/>
      <c r="C32" s="56"/>
      <c r="D32" s="56"/>
      <c r="E32" s="56"/>
      <c r="F32" s="56"/>
      <c r="G32" s="57"/>
      <c r="H32" s="54"/>
      <c r="I32" s="36"/>
      <c r="J32" s="36"/>
    </row>
    <row r="33" spans="1:10">
      <c r="A33" s="54"/>
      <c r="B33" s="56"/>
      <c r="C33" s="56"/>
      <c r="D33" s="56"/>
      <c r="E33" s="56"/>
      <c r="F33" s="56"/>
      <c r="G33" s="57"/>
      <c r="H33" s="54"/>
      <c r="I33" s="36"/>
      <c r="J33" s="36"/>
    </row>
    <row r="34" spans="1:10">
      <c r="A34" s="54"/>
      <c r="B34" s="56"/>
      <c r="C34" s="56"/>
      <c r="D34" s="56"/>
      <c r="E34" s="56"/>
      <c r="F34" s="56"/>
      <c r="G34" s="57"/>
      <c r="H34" s="54"/>
      <c r="I34" s="36"/>
      <c r="J34" s="36"/>
    </row>
    <row r="35" spans="1:10">
      <c r="A35" s="61"/>
      <c r="B35" s="56"/>
      <c r="C35" s="56"/>
      <c r="D35" s="56"/>
      <c r="E35" s="56"/>
      <c r="F35" s="56"/>
      <c r="G35" s="57"/>
      <c r="H35" s="54"/>
      <c r="I35" s="36"/>
      <c r="J35" s="36"/>
    </row>
    <row r="36" spans="1:10">
      <c r="A36" s="54"/>
      <c r="B36" s="56"/>
      <c r="C36" s="56"/>
      <c r="D36" s="56"/>
      <c r="E36" s="56"/>
      <c r="F36" s="56"/>
      <c r="G36" s="57"/>
      <c r="H36" s="54"/>
      <c r="I36" s="36"/>
      <c r="J36" s="36"/>
    </row>
    <row r="37" spans="1:10">
      <c r="A37" s="54"/>
      <c r="B37" s="56"/>
      <c r="C37" s="56"/>
      <c r="D37" s="56"/>
      <c r="E37" s="56"/>
      <c r="F37" s="56"/>
      <c r="G37" s="57"/>
      <c r="H37" s="54"/>
      <c r="I37" s="36"/>
      <c r="J37" s="36"/>
    </row>
    <row r="38" spans="1:10">
      <c r="A38" s="54"/>
      <c r="B38" s="56"/>
      <c r="C38" s="56"/>
      <c r="D38" s="56"/>
      <c r="E38" s="56"/>
      <c r="F38" s="56"/>
      <c r="G38" s="57"/>
      <c r="H38" s="54"/>
      <c r="I38" s="36"/>
      <c r="J38" s="36"/>
    </row>
    <row r="39" spans="1:10">
      <c r="A39" s="54"/>
      <c r="B39" s="56"/>
      <c r="C39" s="56"/>
      <c r="D39" s="56"/>
      <c r="E39" s="56"/>
      <c r="F39" s="56"/>
      <c r="G39" s="57"/>
      <c r="H39" s="54"/>
      <c r="I39" s="36"/>
      <c r="J39" s="36"/>
    </row>
    <row r="40" spans="1:10">
      <c r="A40" s="54"/>
      <c r="B40" s="56"/>
      <c r="C40" s="56"/>
      <c r="D40" s="56"/>
      <c r="E40" s="56"/>
      <c r="F40" s="56"/>
      <c r="G40" s="57"/>
      <c r="H40" s="54"/>
      <c r="I40" s="36"/>
      <c r="J40" s="36"/>
    </row>
    <row r="41" spans="1:10">
      <c r="A41" s="54"/>
      <c r="B41" s="56"/>
      <c r="C41" s="56"/>
      <c r="D41" s="56"/>
      <c r="E41" s="56"/>
      <c r="F41" s="56"/>
      <c r="G41" s="57"/>
      <c r="H41" s="54"/>
      <c r="I41" s="36"/>
      <c r="J41" s="36"/>
    </row>
    <row r="42" spans="1:10">
      <c r="A42" s="32"/>
      <c r="B42" s="62"/>
      <c r="C42" s="62"/>
      <c r="D42" s="56"/>
      <c r="E42" s="62"/>
      <c r="F42" s="62"/>
      <c r="G42" s="57"/>
      <c r="H42" s="54"/>
      <c r="I42" s="36"/>
      <c r="J42" s="36"/>
    </row>
    <row r="43" spans="1:10">
      <c r="A43" s="32"/>
      <c r="B43" s="62"/>
      <c r="C43" s="62"/>
      <c r="D43" s="56"/>
      <c r="E43" s="54"/>
      <c r="F43" s="54"/>
      <c r="G43" s="57"/>
      <c r="H43" s="54"/>
      <c r="I43" s="36"/>
      <c r="J43" s="36"/>
    </row>
    <row r="44" spans="1:10">
      <c r="A44" s="54"/>
      <c r="B44" s="56"/>
      <c r="C44" s="56"/>
      <c r="D44" s="56"/>
      <c r="E44" s="56"/>
      <c r="F44" s="56"/>
      <c r="G44" s="54"/>
      <c r="H44" s="54"/>
      <c r="I44" s="36"/>
      <c r="J44" s="36"/>
    </row>
    <row r="45" spans="1:10">
      <c r="A45" s="54"/>
      <c r="B45" s="57"/>
      <c r="C45" s="57"/>
      <c r="D45" s="56"/>
      <c r="E45" s="57"/>
      <c r="F45" s="57"/>
      <c r="G45" s="57"/>
      <c r="H45" s="54"/>
      <c r="I45" s="36"/>
      <c r="J45" s="36"/>
    </row>
    <row r="46" spans="1:10">
      <c r="A46" s="30"/>
      <c r="B46" s="36"/>
      <c r="C46" s="36"/>
      <c r="D46" s="36"/>
      <c r="E46" s="36"/>
      <c r="F46" s="36"/>
      <c r="G46" s="36"/>
      <c r="H46" s="36"/>
      <c r="I46" s="36"/>
      <c r="J46" s="36"/>
    </row>
    <row r="47" spans="1:10">
      <c r="A47" s="30"/>
      <c r="B47" s="36"/>
      <c r="C47" s="36"/>
      <c r="D47" s="36"/>
      <c r="E47" s="36"/>
      <c r="F47" s="36"/>
      <c r="G47" s="36"/>
      <c r="H47" s="36"/>
      <c r="I47" s="36"/>
      <c r="J47" s="36"/>
    </row>
    <row r="48" spans="1:10">
      <c r="A48" s="30"/>
      <c r="B48" s="36"/>
      <c r="C48" s="36"/>
      <c r="D48" s="36"/>
      <c r="E48" s="36"/>
      <c r="F48" s="36"/>
      <c r="G48" s="36"/>
      <c r="H48" s="36"/>
      <c r="I48" s="36"/>
      <c r="J48" s="36"/>
    </row>
  </sheetData>
  <mergeCells count="16">
    <mergeCell ref="Z1:AA1"/>
    <mergeCell ref="U17:W17"/>
    <mergeCell ref="U1:W1"/>
    <mergeCell ref="E22:F22"/>
    <mergeCell ref="R17:T17"/>
    <mergeCell ref="C1:E1"/>
    <mergeCell ref="F1:H1"/>
    <mergeCell ref="L1:N1"/>
    <mergeCell ref="I1:K1"/>
    <mergeCell ref="O1:Q1"/>
    <mergeCell ref="R1:T1"/>
    <mergeCell ref="F17:H17"/>
    <mergeCell ref="C17:E17"/>
    <mergeCell ref="I17:K17"/>
    <mergeCell ref="L17:N17"/>
    <mergeCell ref="O17:Q17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59"/>
  <sheetViews>
    <sheetView tabSelected="1" zoomScale="85" zoomScaleNormal="85" workbookViewId="0">
      <selection activeCell="M19" sqref="M19"/>
    </sheetView>
  </sheetViews>
  <sheetFormatPr defaultColWidth="8.88671875" defaultRowHeight="14.4"/>
  <cols>
    <col min="1" max="1" width="25.44140625" style="2" customWidth="1"/>
    <col min="2" max="2" width="11.88671875" style="2" bestFit="1" customWidth="1"/>
    <col min="3" max="3" width="13.44140625" style="2" customWidth="1"/>
    <col min="4" max="4" width="12.88671875" style="2" customWidth="1"/>
    <col min="5" max="5" width="11.6640625" style="2" bestFit="1" customWidth="1"/>
    <col min="6" max="6" width="13" style="2" bestFit="1" customWidth="1"/>
    <col min="7" max="7" width="12" style="2" customWidth="1"/>
    <col min="8" max="8" width="13" style="2" bestFit="1" customWidth="1"/>
    <col min="9" max="9" width="12.6640625" style="2" bestFit="1" customWidth="1"/>
    <col min="10" max="10" width="12.88671875" style="2" bestFit="1" customWidth="1"/>
    <col min="11" max="11" width="12" style="2" customWidth="1"/>
    <col min="12" max="21" width="12.6640625" style="2" bestFit="1" customWidth="1"/>
    <col min="22" max="22" width="11.5546875" style="2" bestFit="1" customWidth="1"/>
    <col min="23" max="23" width="12.6640625" style="2" bestFit="1" customWidth="1"/>
    <col min="24" max="24" width="11.5546875" style="2" bestFit="1" customWidth="1"/>
    <col min="25" max="27" width="12.6640625" style="2" bestFit="1" customWidth="1"/>
    <col min="28" max="28" width="11.5546875" style="2" bestFit="1" customWidth="1"/>
    <col min="29" max="37" width="12.6640625" style="2" bestFit="1" customWidth="1"/>
    <col min="38" max="46" width="12" style="2" bestFit="1" customWidth="1"/>
    <col min="47" max="48" width="10.88671875" style="2" bestFit="1" customWidth="1"/>
    <col min="49" max="55" width="12" style="2" bestFit="1" customWidth="1"/>
    <col min="56" max="56" width="10.88671875" style="2" bestFit="1" customWidth="1"/>
    <col min="57" max="64" width="12" style="2" bestFit="1" customWidth="1"/>
    <col min="65" max="65" width="10.88671875" style="2" bestFit="1" customWidth="1"/>
    <col min="66" max="66" width="12" style="2" bestFit="1" customWidth="1"/>
    <col min="67" max="67" width="10.88671875" style="2" bestFit="1" customWidth="1"/>
    <col min="68" max="96" width="12" style="2" bestFit="1" customWidth="1"/>
    <col min="97" max="97" width="11.88671875" style="2" bestFit="1" customWidth="1"/>
    <col min="98" max="104" width="12" style="2" bestFit="1" customWidth="1"/>
    <col min="105" max="16384" width="8.88671875" style="2"/>
  </cols>
  <sheetData>
    <row r="1" spans="1:24" ht="30" customHeight="1">
      <c r="A1" s="208" t="s">
        <v>149</v>
      </c>
      <c r="B1" s="208"/>
      <c r="C1" s="208"/>
      <c r="D1" s="208"/>
      <c r="E1" s="208"/>
      <c r="F1" s="208"/>
      <c r="G1" s="208"/>
      <c r="H1" s="208"/>
      <c r="I1" s="208"/>
      <c r="K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8">
      <c r="A2" s="72"/>
      <c r="B2" s="208" t="s">
        <v>98</v>
      </c>
      <c r="C2" s="208"/>
      <c r="D2" s="208"/>
      <c r="E2" s="208"/>
      <c r="F2" s="208" t="s">
        <v>99</v>
      </c>
      <c r="G2" s="208"/>
      <c r="H2" s="208"/>
      <c r="I2" s="208"/>
      <c r="K2" s="30"/>
      <c r="N2" s="30"/>
      <c r="O2" s="70"/>
      <c r="P2" s="70"/>
      <c r="Q2" s="70"/>
      <c r="R2" s="70"/>
      <c r="S2" s="70"/>
      <c r="T2" s="70"/>
      <c r="U2" s="70"/>
      <c r="V2" s="30"/>
      <c r="W2" s="30"/>
      <c r="X2" s="30"/>
    </row>
    <row r="3" spans="1:24" ht="15" customHeight="1">
      <c r="A3" s="209" t="s">
        <v>100</v>
      </c>
      <c r="B3" s="209" t="s">
        <v>101</v>
      </c>
      <c r="C3" s="209" t="s">
        <v>274</v>
      </c>
      <c r="D3" s="209" t="s">
        <v>92</v>
      </c>
      <c r="E3" s="209" t="s">
        <v>148</v>
      </c>
      <c r="F3" s="209" t="s">
        <v>191</v>
      </c>
      <c r="G3" s="209" t="s">
        <v>192</v>
      </c>
      <c r="H3" s="209" t="s">
        <v>193</v>
      </c>
      <c r="I3" s="209" t="s">
        <v>194</v>
      </c>
      <c r="J3" s="31"/>
      <c r="K3" s="35"/>
      <c r="L3" s="31"/>
      <c r="N3" s="30"/>
      <c r="O3" s="69"/>
      <c r="P3" s="69"/>
      <c r="Q3" s="69"/>
      <c r="R3" s="69"/>
      <c r="S3" s="69"/>
      <c r="T3" s="69"/>
      <c r="U3" s="69"/>
      <c r="V3" s="30"/>
      <c r="W3" s="30"/>
      <c r="X3" s="30"/>
    </row>
    <row r="4" spans="1:24" ht="45.6" customHeight="1">
      <c r="A4" s="209"/>
      <c r="B4" s="209"/>
      <c r="C4" s="209"/>
      <c r="D4" s="209"/>
      <c r="E4" s="209"/>
      <c r="F4" s="209"/>
      <c r="G4" s="209"/>
      <c r="H4" s="209"/>
      <c r="I4" s="209"/>
      <c r="J4" s="31"/>
      <c r="K4" s="35"/>
      <c r="L4" s="31"/>
      <c r="N4" s="30"/>
      <c r="O4" s="69"/>
      <c r="P4" s="30"/>
      <c r="Q4" s="30"/>
      <c r="R4" s="30"/>
      <c r="S4" s="30"/>
      <c r="T4" s="30"/>
      <c r="U4" s="30"/>
      <c r="V4" s="30"/>
      <c r="W4" s="30"/>
      <c r="X4" s="30"/>
    </row>
    <row r="5" spans="1:24">
      <c r="A5" s="211" t="s">
        <v>102</v>
      </c>
      <c r="B5" s="73" t="s">
        <v>95</v>
      </c>
      <c r="C5" s="74">
        <v>13266626</v>
      </c>
      <c r="D5" s="75">
        <f>C5/$B$25</f>
        <v>150757.11363636365</v>
      </c>
      <c r="E5" s="76">
        <f t="shared" ref="E5:E14" si="0">D5/$D$18</f>
        <v>4.2761424537663191E-2</v>
      </c>
      <c r="F5" s="75">
        <f>Chemicals!F2*365</f>
        <v>3599.3977272727275</v>
      </c>
      <c r="G5" s="75">
        <f>Energyperm3!D16*12*CapitalOperationalCosts!B$27/CapitalOperationalCosts!B$25</f>
        <v>6479.7318181818182</v>
      </c>
      <c r="H5" s="75">
        <f>(F22*C22+F23*C23)/$B$25*365</f>
        <v>13272.727272727274</v>
      </c>
      <c r="I5" s="75">
        <f>B26/$B$25*WaterMeterreading!B21</f>
        <v>28274.385227272727</v>
      </c>
      <c r="J5" s="31"/>
      <c r="K5" s="30"/>
      <c r="L5" s="31"/>
      <c r="N5" s="30"/>
      <c r="O5" s="69"/>
      <c r="P5" s="30"/>
      <c r="Q5" s="30"/>
      <c r="R5" s="30"/>
      <c r="S5" s="30"/>
      <c r="T5" s="30"/>
      <c r="U5" s="30"/>
      <c r="V5" s="30"/>
      <c r="W5" s="30"/>
      <c r="X5" s="30"/>
    </row>
    <row r="6" spans="1:24">
      <c r="A6" s="211"/>
      <c r="B6" s="73" t="s">
        <v>96</v>
      </c>
      <c r="C6" s="74">
        <v>50320124</v>
      </c>
      <c r="D6" s="75">
        <f>C6/$B$25</f>
        <v>571819.59090909094</v>
      </c>
      <c r="E6" s="76">
        <f t="shared" si="0"/>
        <v>0.16219347595627209</v>
      </c>
      <c r="F6" s="75">
        <f>Chemicals!F3*365</f>
        <v>389.47159090909088</v>
      </c>
      <c r="G6" s="75">
        <f>Energyperm3!G16*12*CapitalOperationalCosts!B$27/CapitalOperationalCosts!B$25</f>
        <v>2051.1</v>
      </c>
      <c r="H6" s="75">
        <f>(G22*C22+G23*C23)/$B$25*365</f>
        <v>6636.3636363636369</v>
      </c>
      <c r="I6" s="77"/>
      <c r="J6" s="31"/>
      <c r="K6" s="30"/>
      <c r="L6" s="31"/>
      <c r="N6" s="30"/>
      <c r="O6" s="69"/>
      <c r="P6" s="30"/>
      <c r="Q6" s="30"/>
      <c r="R6" s="30"/>
      <c r="S6" s="30"/>
      <c r="T6" s="30"/>
      <c r="U6" s="30"/>
      <c r="V6" s="30"/>
      <c r="W6" s="30"/>
      <c r="X6" s="30"/>
    </row>
    <row r="7" spans="1:24">
      <c r="A7" s="78" t="s">
        <v>94</v>
      </c>
      <c r="B7" s="73" t="s">
        <v>31</v>
      </c>
      <c r="C7" s="74">
        <v>14838050</v>
      </c>
      <c r="D7" s="75">
        <f>C7/$B$25</f>
        <v>168614.20454545456</v>
      </c>
      <c r="E7" s="76">
        <f t="shared" si="0"/>
        <v>4.7826489972738605E-2</v>
      </c>
      <c r="F7" s="77"/>
      <c r="G7" s="75">
        <f>Energyperm3!J16*12*CapitalOperationalCosts!B$27/CapitalOperationalCosts!B$25</f>
        <v>729.52873863636364</v>
      </c>
      <c r="H7" s="210">
        <f>(E22*C22+E23*C23)/$B$25*365</f>
        <v>17213.06818181818</v>
      </c>
      <c r="I7" s="77"/>
      <c r="J7" s="31"/>
      <c r="K7" s="30"/>
      <c r="L7" s="31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>
      <c r="A8" s="78"/>
      <c r="B8" s="73" t="s">
        <v>97</v>
      </c>
      <c r="C8" s="74">
        <v>36056104</v>
      </c>
      <c r="D8" s="75">
        <f>C8/$B$25</f>
        <v>409728.45454545453</v>
      </c>
      <c r="E8" s="76">
        <f t="shared" si="0"/>
        <v>0.11621721832801615</v>
      </c>
      <c r="F8" s="77"/>
      <c r="G8" s="75">
        <f>Energyperm3!P16*12*CapitalOperationalCosts!B$27/CapitalOperationalCosts!B$25</f>
        <v>2142.8863636363635</v>
      </c>
      <c r="H8" s="210"/>
      <c r="I8" s="77"/>
      <c r="J8" s="31"/>
      <c r="L8" s="31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>
      <c r="A9" s="78"/>
      <c r="B9" s="63" t="s">
        <v>35</v>
      </c>
      <c r="C9" s="63" t="s">
        <v>281</v>
      </c>
      <c r="D9" s="75"/>
      <c r="E9" s="76">
        <f t="shared" si="0"/>
        <v>0</v>
      </c>
      <c r="F9" s="63"/>
      <c r="G9" s="75">
        <f>Energyperm3!S16*12*CapitalOperationalCosts!B$27/CapitalOperationalCosts!B$25</f>
        <v>910.27499999999998</v>
      </c>
      <c r="H9" s="210"/>
      <c r="I9" s="63"/>
      <c r="J9" s="31"/>
      <c r="K9" s="31"/>
      <c r="L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>
      <c r="A10" s="211" t="s">
        <v>103</v>
      </c>
      <c r="B10" s="73" t="s">
        <v>178</v>
      </c>
      <c r="C10" s="74">
        <v>38989457</v>
      </c>
      <c r="D10" s="75">
        <f>C10/$B$25</f>
        <v>443062.01136363635</v>
      </c>
      <c r="E10" s="76">
        <f t="shared" si="0"/>
        <v>0.12567209803532289</v>
      </c>
      <c r="F10" s="63"/>
      <c r="G10" s="212">
        <f>Energyperm3!M16*12*CapitalOperationalCosts!B$27/CapitalOperationalCosts!B$25</f>
        <v>5904.0193181818186</v>
      </c>
      <c r="H10" s="210">
        <f>D22*C22/$B$25*365</f>
        <v>7880.681818181818</v>
      </c>
      <c r="I10" s="77"/>
      <c r="J10" s="31"/>
      <c r="K10" s="31"/>
      <c r="L10" s="31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>
      <c r="A11" s="211"/>
      <c r="B11" s="73" t="s">
        <v>275</v>
      </c>
      <c r="C11" s="74">
        <v>15794209</v>
      </c>
      <c r="D11" s="75">
        <f>C11/$B$25</f>
        <v>179479.64772727274</v>
      </c>
      <c r="E11" s="76">
        <f t="shared" si="0"/>
        <v>5.0908413057365209E-2</v>
      </c>
      <c r="F11" s="63"/>
      <c r="G11" s="212"/>
      <c r="H11" s="210"/>
      <c r="I11" s="77"/>
      <c r="J11" s="31"/>
      <c r="K11" s="88"/>
      <c r="L11" s="31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28.8">
      <c r="A12" s="78" t="s">
        <v>104</v>
      </c>
      <c r="B12" s="73" t="s">
        <v>105</v>
      </c>
      <c r="C12" s="74">
        <v>40821620</v>
      </c>
      <c r="D12" s="75">
        <f>C12/$B$25</f>
        <v>463882.04545454547</v>
      </c>
      <c r="E12" s="76">
        <f t="shared" si="0"/>
        <v>0.1315775859766577</v>
      </c>
      <c r="F12" s="63"/>
      <c r="G12" s="63"/>
      <c r="H12" s="63"/>
      <c r="I12" s="73"/>
      <c r="J12" s="31"/>
      <c r="K12" s="31"/>
      <c r="L12" s="31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52.2" customHeight="1">
      <c r="A13" s="78"/>
      <c r="B13" s="73" t="s">
        <v>106</v>
      </c>
      <c r="C13" s="74">
        <v>9161332</v>
      </c>
      <c r="D13" s="75">
        <f>C13/$B$25</f>
        <v>104106.04545454546</v>
      </c>
      <c r="E13" s="76">
        <f t="shared" si="0"/>
        <v>2.952910611804983E-2</v>
      </c>
      <c r="F13" s="63"/>
      <c r="G13" s="63"/>
      <c r="H13" s="63"/>
      <c r="I13" s="73"/>
      <c r="J13" s="31"/>
      <c r="K13" s="31"/>
      <c r="L13" s="31"/>
    </row>
    <row r="14" spans="1:24" s="6" customFormat="1" ht="57.6">
      <c r="A14" s="78" t="s">
        <v>107</v>
      </c>
      <c r="B14" s="73" t="s">
        <v>93</v>
      </c>
      <c r="C14" s="77">
        <v>91000000</v>
      </c>
      <c r="D14" s="75">
        <f>C14/$B$25</f>
        <v>1034090.9090909091</v>
      </c>
      <c r="E14" s="76">
        <f t="shared" si="0"/>
        <v>0.29331418801791426</v>
      </c>
      <c r="F14" s="73"/>
      <c r="G14" s="73"/>
      <c r="H14" s="79"/>
      <c r="I14" s="73"/>
      <c r="J14" s="33"/>
      <c r="K14" s="33"/>
      <c r="L14" s="151"/>
    </row>
    <row r="15" spans="1:24" ht="28.8">
      <c r="A15" s="80"/>
      <c r="B15" s="63" t="s">
        <v>262</v>
      </c>
      <c r="C15" s="63"/>
      <c r="D15" s="81">
        <f>D7+D11+D13+D14</f>
        <v>1486290.8068181819</v>
      </c>
      <c r="E15" s="76">
        <f>E7+E11+E13+E14</f>
        <v>0.42157819716606793</v>
      </c>
      <c r="F15" s="63"/>
      <c r="G15" s="63"/>
      <c r="H15" s="63"/>
      <c r="I15" s="63"/>
      <c r="J15" s="31"/>
      <c r="K15" s="31"/>
      <c r="L15" s="31"/>
    </row>
    <row r="16" spans="1:24" ht="28.8">
      <c r="A16" s="80"/>
      <c r="B16" s="63" t="s">
        <v>266</v>
      </c>
      <c r="C16" s="63"/>
      <c r="D16" s="81">
        <f>D7+D11+D13</f>
        <v>452199.89772727276</v>
      </c>
      <c r="E16" s="76">
        <f>E7+E11+E13</f>
        <v>0.12826400914815364</v>
      </c>
      <c r="F16" s="63"/>
      <c r="G16" s="63"/>
      <c r="H16" s="63"/>
      <c r="I16" s="63"/>
      <c r="J16" s="31"/>
      <c r="K16" s="31"/>
      <c r="L16" s="31"/>
    </row>
    <row r="17" spans="1:12" ht="28.8">
      <c r="A17" s="80"/>
      <c r="B17" s="63"/>
      <c r="C17" s="63"/>
      <c r="D17" s="81"/>
      <c r="E17" s="76"/>
      <c r="F17" s="63"/>
      <c r="G17" s="63"/>
      <c r="H17" s="63"/>
      <c r="I17" s="63"/>
      <c r="J17" s="31"/>
      <c r="K17" s="31" t="s">
        <v>277</v>
      </c>
      <c r="L17" s="31"/>
    </row>
    <row r="18" spans="1:12">
      <c r="A18" s="63" t="s">
        <v>195</v>
      </c>
      <c r="B18" s="63"/>
      <c r="C18" s="71"/>
      <c r="D18" s="81">
        <f>SUM(D5:D14)</f>
        <v>3525540.0227272729</v>
      </c>
      <c r="E18" s="168"/>
      <c r="F18" s="81">
        <f>SUM(F5:F14)</f>
        <v>3988.8693181818185</v>
      </c>
      <c r="G18" s="81">
        <f>SUM(G5:G14)</f>
        <v>18217.541238636364</v>
      </c>
      <c r="H18" s="81">
        <f>SUM(H5:H14)</f>
        <v>45002.840909090904</v>
      </c>
      <c r="I18" s="81">
        <f>SUM(I5:I14)</f>
        <v>28274.385227272727</v>
      </c>
      <c r="J18" s="31"/>
      <c r="K18" s="34">
        <f>SUM(F18:I18)</f>
        <v>95483.636693181819</v>
      </c>
      <c r="L18" s="31"/>
    </row>
    <row r="19" spans="1:12" ht="72">
      <c r="A19" s="63" t="s">
        <v>181</v>
      </c>
      <c r="B19" s="63"/>
      <c r="C19" s="71"/>
      <c r="D19" s="76">
        <f>(D7+D11+D13+D14)/D18</f>
        <v>0.42157819716606793</v>
      </c>
      <c r="E19" s="71"/>
      <c r="F19" s="63"/>
      <c r="G19" s="63"/>
      <c r="H19" s="63"/>
      <c r="I19" s="63"/>
      <c r="J19" s="31"/>
      <c r="K19" s="31"/>
      <c r="L19" s="31"/>
    </row>
    <row r="20" spans="1:12">
      <c r="A20" s="63"/>
      <c r="B20" s="63"/>
      <c r="C20" s="71"/>
      <c r="D20" s="81"/>
      <c r="E20" s="71"/>
      <c r="F20" s="63"/>
      <c r="G20" s="63"/>
      <c r="H20" s="63"/>
      <c r="I20" s="63"/>
      <c r="J20" s="31"/>
      <c r="K20" s="31"/>
      <c r="L20" s="31"/>
    </row>
    <row r="21" spans="1:12" ht="28.8">
      <c r="A21" s="63"/>
      <c r="B21" s="71" t="s">
        <v>1</v>
      </c>
      <c r="C21" s="81" t="s">
        <v>177</v>
      </c>
      <c r="D21" s="71" t="s">
        <v>178</v>
      </c>
      <c r="E21" s="63" t="s">
        <v>94</v>
      </c>
      <c r="F21" s="63" t="s">
        <v>95</v>
      </c>
      <c r="G21" s="63" t="s">
        <v>179</v>
      </c>
      <c r="H21" s="71"/>
      <c r="I21" s="63"/>
      <c r="J21" s="31"/>
      <c r="K21" s="31"/>
      <c r="L21" s="31"/>
    </row>
    <row r="22" spans="1:12">
      <c r="A22" s="66" t="s">
        <v>108</v>
      </c>
      <c r="B22" s="63">
        <v>8</v>
      </c>
      <c r="C22" s="63">
        <v>950</v>
      </c>
      <c r="D22" s="63">
        <v>2</v>
      </c>
      <c r="E22" s="63">
        <v>3</v>
      </c>
      <c r="F22" s="63">
        <v>2</v>
      </c>
      <c r="G22" s="63">
        <v>1</v>
      </c>
      <c r="H22" s="63"/>
      <c r="I22" s="63"/>
      <c r="J22" s="31"/>
      <c r="K22" s="31"/>
      <c r="L22" s="31"/>
    </row>
    <row r="23" spans="1:12">
      <c r="A23" s="66" t="s">
        <v>109</v>
      </c>
      <c r="B23" s="63">
        <v>5</v>
      </c>
      <c r="C23" s="63">
        <v>650</v>
      </c>
      <c r="D23" s="63">
        <v>0</v>
      </c>
      <c r="E23" s="63">
        <v>2</v>
      </c>
      <c r="F23" s="63">
        <v>2</v>
      </c>
      <c r="G23" s="63">
        <v>1</v>
      </c>
      <c r="H23" s="63"/>
      <c r="I23" s="63"/>
      <c r="J23" s="31"/>
      <c r="K23" s="31"/>
      <c r="L23" s="31"/>
    </row>
    <row r="24" spans="1:12">
      <c r="A24" s="63"/>
      <c r="B24" s="63"/>
      <c r="C24" s="71"/>
      <c r="D24" s="81"/>
      <c r="E24" s="71"/>
      <c r="F24" s="63"/>
      <c r="G24" s="63"/>
      <c r="H24" s="82"/>
      <c r="I24" s="82"/>
      <c r="J24" s="31"/>
      <c r="K24" s="31"/>
      <c r="L24" s="31"/>
    </row>
    <row r="25" spans="1:12">
      <c r="A25" s="71" t="s">
        <v>146</v>
      </c>
      <c r="B25" s="71">
        <v>88</v>
      </c>
      <c r="C25" s="82"/>
      <c r="D25" s="82"/>
      <c r="E25" s="82"/>
      <c r="F25" s="82"/>
      <c r="G25" s="82"/>
      <c r="H25" s="82"/>
      <c r="I25" s="82"/>
      <c r="J25" s="31"/>
      <c r="K25" s="31"/>
      <c r="L25" s="31"/>
    </row>
    <row r="26" spans="1:12">
      <c r="A26" s="71" t="s">
        <v>205</v>
      </c>
      <c r="B26" s="71">
        <v>10.7</v>
      </c>
      <c r="C26" s="82"/>
      <c r="D26" s="82"/>
      <c r="E26" s="82"/>
      <c r="F26" s="82"/>
      <c r="G26" s="82"/>
      <c r="H26" s="82"/>
      <c r="I26" s="82"/>
      <c r="J26" s="31"/>
      <c r="K26" s="31"/>
      <c r="L26" s="31"/>
    </row>
    <row r="27" spans="1:12">
      <c r="A27" s="82" t="s">
        <v>145</v>
      </c>
      <c r="B27" s="82">
        <v>5.3</v>
      </c>
      <c r="C27" s="82"/>
      <c r="D27" s="82"/>
      <c r="E27" s="82"/>
      <c r="F27" s="82"/>
      <c r="G27" s="82"/>
      <c r="H27" s="82"/>
      <c r="I27" s="82"/>
      <c r="J27" s="31"/>
      <c r="K27" s="31"/>
      <c r="L27" s="31"/>
    </row>
    <row r="28" spans="1:12">
      <c r="A28" s="82" t="s">
        <v>189</v>
      </c>
      <c r="B28" s="82">
        <f>30*24/1000</f>
        <v>0.72</v>
      </c>
      <c r="C28" s="82"/>
      <c r="D28" s="82"/>
      <c r="E28" s="82"/>
      <c r="F28" s="82"/>
      <c r="G28" s="82"/>
      <c r="H28" s="82"/>
      <c r="I28" s="82"/>
      <c r="J28" s="31"/>
      <c r="K28" s="31"/>
      <c r="L28" s="31"/>
    </row>
    <row r="29" spans="1:12">
      <c r="A29" s="82" t="s">
        <v>190</v>
      </c>
      <c r="B29" s="92">
        <f>B28/WaterMeterreading!F16</f>
        <v>2.1378201162934552E-3</v>
      </c>
      <c r="C29" s="82"/>
      <c r="D29" s="82"/>
      <c r="E29" s="82"/>
      <c r="F29" s="82"/>
      <c r="G29" s="82"/>
      <c r="H29" s="82"/>
      <c r="I29" s="82"/>
      <c r="J29" s="31"/>
      <c r="K29" s="31"/>
      <c r="L29" s="31"/>
    </row>
    <row r="30" spans="1:12">
      <c r="A30" s="83" t="s">
        <v>150</v>
      </c>
      <c r="B30" s="92">
        <f>B28*CapitalOperationalCosts!B27/CapitalOperationalCosts!B25</f>
        <v>4.3363636363636361E-2</v>
      </c>
      <c r="C30" s="82"/>
      <c r="D30" s="82"/>
      <c r="E30" s="82"/>
      <c r="F30" s="82"/>
      <c r="G30" s="82"/>
      <c r="H30" s="82"/>
      <c r="I30" s="82"/>
      <c r="J30" s="31"/>
      <c r="K30" s="31"/>
      <c r="L30" s="31"/>
    </row>
    <row r="31" spans="1:12">
      <c r="A31" s="82" t="s">
        <v>175</v>
      </c>
      <c r="B31" s="92">
        <v>6.5000000000000002E-2</v>
      </c>
      <c r="C31" s="82"/>
      <c r="D31" s="82"/>
      <c r="E31" s="82"/>
      <c r="F31" s="82"/>
      <c r="G31" s="82"/>
      <c r="H31" s="82"/>
      <c r="I31" s="82"/>
      <c r="J31" s="31"/>
      <c r="K31" s="31"/>
      <c r="L31" s="31"/>
    </row>
    <row r="32" spans="1:12">
      <c r="A32" s="82" t="s">
        <v>176</v>
      </c>
      <c r="B32" s="92">
        <v>4.8599999999999997E-2</v>
      </c>
      <c r="C32" s="82"/>
      <c r="D32" s="82"/>
      <c r="E32" s="82"/>
      <c r="F32" s="82"/>
      <c r="G32" s="82"/>
      <c r="H32" s="82"/>
      <c r="I32" s="82"/>
      <c r="J32" s="31"/>
      <c r="K32" s="31"/>
      <c r="L32" s="31"/>
    </row>
    <row r="33" spans="1:12">
      <c r="A33" s="82"/>
      <c r="B33" s="82"/>
      <c r="C33" s="82"/>
      <c r="D33" s="82"/>
      <c r="E33" s="82"/>
      <c r="F33" s="82"/>
      <c r="G33" s="82"/>
      <c r="H33" s="82"/>
      <c r="I33" s="82"/>
      <c r="J33" s="31"/>
      <c r="K33" s="31"/>
      <c r="L33" s="31"/>
    </row>
    <row r="34" spans="1:12">
      <c r="A34" s="63"/>
      <c r="B34" s="86"/>
      <c r="C34" s="63"/>
      <c r="D34" s="63"/>
      <c r="E34" s="63"/>
      <c r="F34" s="63"/>
      <c r="G34" s="71"/>
      <c r="H34" s="71"/>
      <c r="I34" s="71"/>
    </row>
    <row r="35" spans="1:12">
      <c r="A35" s="63"/>
      <c r="B35" s="86"/>
      <c r="C35" s="63"/>
      <c r="D35" s="63"/>
      <c r="E35" s="63"/>
      <c r="F35" s="63"/>
      <c r="G35" s="71"/>
      <c r="H35" s="71"/>
      <c r="I35" s="71"/>
    </row>
    <row r="36" spans="1:12">
      <c r="A36" s="63"/>
      <c r="B36" s="86"/>
      <c r="C36" s="63"/>
      <c r="D36" s="63"/>
      <c r="E36" s="63"/>
      <c r="F36" s="63"/>
      <c r="G36" s="71"/>
      <c r="H36" s="71"/>
      <c r="I36" s="71"/>
    </row>
    <row r="37" spans="1:12">
      <c r="A37" s="63"/>
      <c r="B37" s="87"/>
      <c r="C37" s="63"/>
      <c r="D37" s="63"/>
      <c r="E37" s="63"/>
      <c r="F37" s="63"/>
      <c r="G37" s="71"/>
      <c r="H37" s="71"/>
      <c r="I37" s="71"/>
    </row>
    <row r="38" spans="1:12">
      <c r="A38" s="63"/>
      <c r="B38" s="87"/>
      <c r="C38" s="63"/>
      <c r="D38" s="63"/>
      <c r="E38" s="63"/>
      <c r="F38" s="63"/>
      <c r="G38" s="71"/>
      <c r="H38" s="71"/>
      <c r="I38" s="71"/>
    </row>
    <row r="39" spans="1:12">
      <c r="A39" s="63"/>
      <c r="B39" s="87"/>
      <c r="C39" s="63"/>
      <c r="D39" s="63"/>
      <c r="E39" s="63"/>
      <c r="F39" s="63"/>
      <c r="G39" s="71"/>
      <c r="H39" s="71"/>
      <c r="I39" s="71"/>
    </row>
    <row r="40" spans="1:12">
      <c r="A40" s="63"/>
      <c r="B40" s="86"/>
      <c r="C40" s="63"/>
      <c r="D40" s="63"/>
      <c r="E40" s="63"/>
      <c r="F40" s="63"/>
      <c r="G40" s="71"/>
      <c r="H40" s="71"/>
      <c r="I40" s="71"/>
    </row>
    <row r="41" spans="1:12">
      <c r="A41" s="63"/>
      <c r="B41" s="86"/>
      <c r="C41" s="63"/>
      <c r="D41" s="63"/>
      <c r="E41" s="63"/>
      <c r="F41" s="63"/>
      <c r="G41" s="71"/>
      <c r="H41" s="71"/>
      <c r="I41" s="71"/>
    </row>
    <row r="42" spans="1:12">
      <c r="A42" s="63"/>
      <c r="B42" s="86"/>
      <c r="C42" s="63"/>
      <c r="D42" s="63"/>
      <c r="E42" s="63"/>
      <c r="F42" s="63"/>
      <c r="G42" s="71"/>
      <c r="H42" s="71"/>
      <c r="I42" s="71"/>
    </row>
    <row r="43" spans="1:12">
      <c r="A43" s="63"/>
      <c r="B43" s="86"/>
      <c r="C43" s="63"/>
      <c r="D43" s="63"/>
      <c r="E43" s="63"/>
      <c r="F43" s="63"/>
      <c r="G43" s="71"/>
      <c r="H43" s="71"/>
      <c r="I43" s="71"/>
    </row>
    <row r="44" spans="1:12">
      <c r="A44" s="63"/>
      <c r="B44" s="63"/>
      <c r="C44" s="63"/>
      <c r="D44" s="63"/>
      <c r="E44" s="63"/>
      <c r="F44" s="63"/>
      <c r="G44" s="71"/>
      <c r="H44" s="71"/>
      <c r="I44" s="71"/>
    </row>
    <row r="45" spans="1:12">
      <c r="A45" s="63"/>
      <c r="B45" s="63"/>
      <c r="C45" s="63"/>
      <c r="D45" s="63"/>
      <c r="E45" s="63"/>
      <c r="F45" s="63"/>
      <c r="G45" s="71"/>
      <c r="H45" s="71"/>
      <c r="I45" s="71"/>
    </row>
    <row r="46" spans="1:12">
      <c r="A46" s="63"/>
      <c r="B46" s="63"/>
      <c r="C46" s="63"/>
      <c r="D46" s="63"/>
      <c r="E46" s="63"/>
      <c r="F46" s="63"/>
      <c r="G46" s="71"/>
      <c r="H46" s="71"/>
      <c r="I46" s="71"/>
    </row>
    <row r="47" spans="1:12">
      <c r="A47" s="63"/>
      <c r="B47" s="63"/>
      <c r="C47" s="63"/>
      <c r="D47" s="63"/>
      <c r="E47" s="63"/>
      <c r="F47" s="63"/>
      <c r="G47" s="71"/>
      <c r="H47" s="71"/>
      <c r="I47" s="71"/>
    </row>
    <row r="48" spans="1:12">
      <c r="A48" s="63"/>
      <c r="B48" s="63"/>
      <c r="C48" s="63"/>
      <c r="D48" s="63"/>
      <c r="E48" s="63"/>
      <c r="F48" s="63"/>
      <c r="G48" s="71"/>
      <c r="H48" s="71"/>
      <c r="I48" s="71"/>
    </row>
    <row r="49" spans="1:9">
      <c r="A49" s="63"/>
      <c r="B49" s="63"/>
      <c r="C49" s="63"/>
      <c r="D49" s="63"/>
      <c r="E49" s="63"/>
      <c r="F49" s="63"/>
      <c r="G49" s="71"/>
      <c r="H49" s="71"/>
      <c r="I49" s="71"/>
    </row>
    <row r="50" spans="1:9">
      <c r="A50" s="63"/>
      <c r="B50" s="63"/>
      <c r="C50" s="63"/>
      <c r="D50" s="63"/>
      <c r="E50" s="63"/>
      <c r="F50" s="63"/>
      <c r="G50" s="71"/>
      <c r="H50" s="71"/>
      <c r="I50" s="71"/>
    </row>
    <row r="51" spans="1:9">
      <c r="A51" s="63"/>
      <c r="B51" s="63"/>
      <c r="C51" s="63"/>
      <c r="D51" s="63"/>
      <c r="E51" s="63"/>
      <c r="F51" s="63"/>
      <c r="G51" s="71"/>
      <c r="H51" s="71"/>
      <c r="I51" s="71"/>
    </row>
    <row r="52" spans="1:9">
      <c r="A52" s="63"/>
      <c r="B52" s="63"/>
      <c r="C52" s="63"/>
      <c r="D52" s="63"/>
      <c r="E52" s="63"/>
      <c r="F52" s="63"/>
      <c r="G52" s="71"/>
      <c r="H52" s="71"/>
      <c r="I52" s="71"/>
    </row>
    <row r="53" spans="1:9">
      <c r="A53" s="63"/>
      <c r="B53" s="63"/>
      <c r="C53" s="63"/>
      <c r="D53" s="63"/>
      <c r="E53" s="63"/>
      <c r="F53" s="63"/>
      <c r="G53" s="71"/>
      <c r="H53" s="71"/>
      <c r="I53" s="71"/>
    </row>
    <row r="54" spans="1:9">
      <c r="A54" s="63"/>
      <c r="B54" s="63"/>
      <c r="C54" s="63"/>
      <c r="D54" s="63"/>
      <c r="E54" s="63"/>
      <c r="F54" s="63"/>
      <c r="G54" s="71"/>
      <c r="H54" s="71"/>
      <c r="I54" s="71"/>
    </row>
    <row r="55" spans="1:9">
      <c r="A55" s="63"/>
      <c r="B55" s="63"/>
      <c r="C55" s="63"/>
      <c r="D55" s="63"/>
      <c r="E55" s="63"/>
      <c r="F55" s="63"/>
      <c r="G55" s="71"/>
      <c r="H55" s="71"/>
      <c r="I55" s="71"/>
    </row>
    <row r="56" spans="1:9">
      <c r="A56" s="63"/>
      <c r="B56" s="63"/>
      <c r="C56" s="63"/>
      <c r="D56" s="63"/>
      <c r="E56" s="63"/>
      <c r="F56" s="63"/>
      <c r="G56" s="71"/>
      <c r="H56" s="71"/>
      <c r="I56" s="71"/>
    </row>
    <row r="57" spans="1:9">
      <c r="A57" s="63"/>
      <c r="B57" s="63"/>
      <c r="C57" s="63"/>
      <c r="D57" s="63"/>
      <c r="E57" s="63"/>
      <c r="F57" s="63"/>
      <c r="G57" s="71"/>
      <c r="H57" s="71"/>
      <c r="I57" s="71"/>
    </row>
    <row r="58" spans="1:9">
      <c r="A58" s="63"/>
      <c r="B58" s="63"/>
      <c r="C58" s="63"/>
      <c r="D58" s="63"/>
      <c r="E58" s="63"/>
      <c r="F58" s="63"/>
      <c r="G58" s="71"/>
      <c r="H58" s="71"/>
      <c r="I58" s="71"/>
    </row>
    <row r="59" spans="1:9">
      <c r="A59" s="71"/>
      <c r="B59" s="71"/>
      <c r="C59" s="71"/>
      <c r="D59" s="71"/>
      <c r="E59" s="71"/>
      <c r="F59" s="71"/>
      <c r="G59" s="71"/>
      <c r="H59" s="71"/>
      <c r="I59" s="71"/>
    </row>
  </sheetData>
  <mergeCells count="17">
    <mergeCell ref="H10:H11"/>
    <mergeCell ref="A5:A6"/>
    <mergeCell ref="A10:A11"/>
    <mergeCell ref="E3:E4"/>
    <mergeCell ref="G10:G11"/>
    <mergeCell ref="H7:H9"/>
    <mergeCell ref="A1:I1"/>
    <mergeCell ref="B2:E2"/>
    <mergeCell ref="F2:I2"/>
    <mergeCell ref="A3:A4"/>
    <mergeCell ref="B3:B4"/>
    <mergeCell ref="C3:C4"/>
    <mergeCell ref="D3:D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topLeftCell="C1" workbookViewId="0">
      <selection activeCell="D2" sqref="D2"/>
    </sheetView>
  </sheetViews>
  <sheetFormatPr defaultRowHeight="14.4"/>
  <cols>
    <col min="4" max="4" width="14.109375" customWidth="1"/>
    <col min="6" max="7" width="13.109375" bestFit="1" customWidth="1"/>
  </cols>
  <sheetData>
    <row r="1" spans="1:7" ht="96.6" thickBot="1">
      <c r="A1" s="24" t="s">
        <v>138</v>
      </c>
      <c r="B1" s="25" t="s">
        <v>139</v>
      </c>
      <c r="C1" s="26" t="s">
        <v>140</v>
      </c>
      <c r="D1" s="26" t="s">
        <v>144</v>
      </c>
      <c r="E1" s="26" t="s">
        <v>141</v>
      </c>
      <c r="F1" s="26" t="s">
        <v>142</v>
      </c>
      <c r="G1" s="26" t="s">
        <v>143</v>
      </c>
    </row>
    <row r="2" spans="1:7" ht="16.2" thickBot="1">
      <c r="A2" s="27" t="s">
        <v>95</v>
      </c>
      <c r="B2" s="23">
        <v>10</v>
      </c>
      <c r="C2" s="23">
        <v>0.6</v>
      </c>
      <c r="D2" s="29">
        <f>SUM(B2:C2)*1000/WaterMeterreading!C16</f>
        <v>12.347716351987573</v>
      </c>
      <c r="E2" s="23">
        <f>B2*B$6+C2*B$7</f>
        <v>867.8</v>
      </c>
      <c r="F2" s="28">
        <f>E2/CapitalOperationalCosts!B25</f>
        <v>9.8613636363636363</v>
      </c>
      <c r="G2" s="23">
        <f>F2/WaterMeterreading!C16</f>
        <v>1.1487294436379521E-2</v>
      </c>
    </row>
    <row r="3" spans="1:7" ht="16.2" thickBot="1">
      <c r="A3" s="27" t="s">
        <v>96</v>
      </c>
      <c r="B3" s="23">
        <v>0</v>
      </c>
      <c r="C3" s="23">
        <v>0.3</v>
      </c>
      <c r="D3" s="29">
        <f>SUM(B3:C3)*1000/WaterMeterreading!F16</f>
        <v>0.89075838178893973</v>
      </c>
      <c r="E3" s="23">
        <f>B3*B$6+C3*B$7</f>
        <v>93.899999999999991</v>
      </c>
      <c r="F3" s="28">
        <f>E3/CapitalOperationalCosts!B25</f>
        <v>1.0670454545454544</v>
      </c>
      <c r="G3" s="23">
        <f>F3/WaterMeterreading!F16</f>
        <v>3.1682656079538418E-3</v>
      </c>
    </row>
    <row r="5" spans="1:7" ht="15.6">
      <c r="A5" s="53" t="s">
        <v>165</v>
      </c>
      <c r="B5" t="s">
        <v>168</v>
      </c>
    </row>
    <row r="6" spans="1:7" ht="15.6">
      <c r="A6" s="53" t="s">
        <v>166</v>
      </c>
      <c r="B6">
        <v>68</v>
      </c>
    </row>
    <row r="7" spans="1:7" ht="15.6">
      <c r="A7" s="53" t="s">
        <v>167</v>
      </c>
      <c r="B7">
        <v>313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A25"/>
  <sheetViews>
    <sheetView topLeftCell="K1" zoomScale="85" zoomScaleNormal="85" workbookViewId="0">
      <selection activeCell="N8" sqref="N8"/>
    </sheetView>
  </sheetViews>
  <sheetFormatPr defaultColWidth="8.88671875" defaultRowHeight="14.4"/>
  <cols>
    <col min="1" max="1" width="30.33203125" style="2" customWidth="1"/>
    <col min="2" max="2" width="29.44140625" style="2" customWidth="1"/>
    <col min="3" max="3" width="28.88671875" style="2" customWidth="1"/>
    <col min="4" max="4" width="14" style="2" customWidth="1"/>
    <col min="5" max="5" width="25.33203125" style="2" customWidth="1"/>
    <col min="6" max="6" width="26" style="2" customWidth="1"/>
    <col min="7" max="8" width="14.6640625" style="2" customWidth="1"/>
    <col min="9" max="9" width="16.5546875" style="2" customWidth="1"/>
    <col min="10" max="10" width="12.88671875" style="2" bestFit="1" customWidth="1"/>
    <col min="11" max="11" width="13.6640625" style="2" customWidth="1"/>
    <col min="12" max="12" width="26.109375" style="2" customWidth="1"/>
    <col min="13" max="14" width="12.6640625" style="2" bestFit="1" customWidth="1"/>
    <col min="15" max="15" width="28.5546875" style="2" customWidth="1"/>
    <col min="16" max="17" width="12.6640625" style="2" bestFit="1" customWidth="1"/>
    <col min="18" max="18" width="34.33203125" style="2" customWidth="1"/>
    <col min="19" max="20" width="12.6640625" style="2" bestFit="1" customWidth="1"/>
    <col min="21" max="21" width="13.6640625" style="2" customWidth="1"/>
    <col min="22" max="22" width="11.5546875" style="2" bestFit="1" customWidth="1"/>
    <col min="23" max="23" width="12.6640625" style="2" bestFit="1" customWidth="1"/>
    <col min="24" max="24" width="11.5546875" style="2" bestFit="1" customWidth="1"/>
    <col min="25" max="27" width="12.6640625" style="2" bestFit="1" customWidth="1"/>
    <col min="28" max="28" width="11.5546875" style="2" bestFit="1" customWidth="1"/>
    <col min="29" max="37" width="12.6640625" style="2" bestFit="1" customWidth="1"/>
    <col min="38" max="38" width="12" style="2" bestFit="1" customWidth="1"/>
    <col min="39" max="39" width="14.88671875" style="2" customWidth="1"/>
    <col min="40" max="46" width="12" style="2" bestFit="1" customWidth="1"/>
    <col min="47" max="48" width="10.88671875" style="2" bestFit="1" customWidth="1"/>
    <col min="49" max="55" width="12" style="2" bestFit="1" customWidth="1"/>
    <col min="56" max="56" width="10.88671875" style="2" bestFit="1" customWidth="1"/>
    <col min="57" max="64" width="12" style="2" bestFit="1" customWidth="1"/>
    <col min="65" max="65" width="10.88671875" style="2" bestFit="1" customWidth="1"/>
    <col min="66" max="66" width="12" style="2" bestFit="1" customWidth="1"/>
    <col min="67" max="67" width="10.88671875" style="2" bestFit="1" customWidth="1"/>
    <col min="68" max="96" width="12" style="2" bestFit="1" customWidth="1"/>
    <col min="97" max="97" width="11.88671875" style="2" bestFit="1" customWidth="1"/>
    <col min="98" max="104" width="12" style="2" bestFit="1" customWidth="1"/>
    <col min="105" max="16384" width="8.88671875" style="2"/>
  </cols>
  <sheetData>
    <row r="1" spans="1:261">
      <c r="A1" s="8" t="s">
        <v>253</v>
      </c>
    </row>
    <row r="2" spans="1:261" ht="44.25" customHeight="1">
      <c r="A2" s="8" t="s">
        <v>218</v>
      </c>
      <c r="B2" s="2">
        <f>WaterMeterreading!B21</f>
        <v>232537</v>
      </c>
      <c r="C2" s="8" t="s">
        <v>219</v>
      </c>
      <c r="D2" s="115">
        <f>Rainwater!Q5</f>
        <v>25202.006160000001</v>
      </c>
      <c r="E2" s="8" t="s">
        <v>220</v>
      </c>
      <c r="F2" s="115">
        <f>WaterMeterreading!F21</f>
        <v>122028.5</v>
      </c>
      <c r="G2" s="8" t="s">
        <v>257</v>
      </c>
      <c r="H2" s="2">
        <f>52*365</f>
        <v>18980</v>
      </c>
      <c r="I2" s="8" t="s">
        <v>280</v>
      </c>
      <c r="J2" s="115">
        <f>Breakdownwaterdemand!G27</f>
        <v>86951.111111111109</v>
      </c>
      <c r="K2" s="8" t="s">
        <v>244</v>
      </c>
      <c r="L2" s="117">
        <f>CapitalOperationalCosts!B26/CapitalOperationalCosts!B25</f>
        <v>0.12159090909090908</v>
      </c>
      <c r="M2" s="8" t="s">
        <v>221</v>
      </c>
      <c r="N2" s="115">
        <f>Energyperm3!D16*12</f>
        <v>107588</v>
      </c>
      <c r="O2" s="8" t="s">
        <v>222</v>
      </c>
      <c r="P2" s="115">
        <f>Energyperm3!J16*12</f>
        <v>12112.93</v>
      </c>
      <c r="Q2" s="8" t="s">
        <v>223</v>
      </c>
      <c r="R2" s="115">
        <f>Energyperm3!M16*12</f>
        <v>98029</v>
      </c>
      <c r="S2" s="8" t="s">
        <v>224</v>
      </c>
      <c r="T2" s="2">
        <f>Energyperm3!P16*12</f>
        <v>35580</v>
      </c>
      <c r="U2" s="8" t="s">
        <v>225</v>
      </c>
      <c r="V2" s="115">
        <f>Energyperm3!G16*12</f>
        <v>34056</v>
      </c>
      <c r="W2" s="8" t="s">
        <v>226</v>
      </c>
      <c r="X2" s="115">
        <f>Energyperm3!S16*12</f>
        <v>15114</v>
      </c>
      <c r="Y2" s="8" t="s">
        <v>227</v>
      </c>
      <c r="Z2" s="115">
        <f>30*24*365/1000</f>
        <v>262.8</v>
      </c>
      <c r="AA2" s="8" t="s">
        <v>235</v>
      </c>
      <c r="AB2" s="117">
        <f>Energyperm3!B24</f>
        <v>756.85561677196381</v>
      </c>
      <c r="AC2" s="8" t="s">
        <v>233</v>
      </c>
      <c r="AD2" s="117">
        <f>1-WholecampusEnergy!E19</f>
        <v>0.89462838861934257</v>
      </c>
      <c r="AE2" s="8" t="s">
        <v>234</v>
      </c>
      <c r="AF2" s="116">
        <f>CapitalOperationalCosts!B27/CapitalOperationalCosts!B25</f>
        <v>6.0227272727272727E-2</v>
      </c>
      <c r="AG2" s="8" t="s">
        <v>228</v>
      </c>
      <c r="AH2" s="2">
        <f>(Chemicals!B2+Chemicals!C2)*365/1000</f>
        <v>3.8690000000000002</v>
      </c>
      <c r="AI2" s="8" t="s">
        <v>229</v>
      </c>
      <c r="AJ2" s="2">
        <f>Chemicals!C3*365/1000</f>
        <v>0.1095</v>
      </c>
      <c r="AK2" s="8" t="s">
        <v>230</v>
      </c>
      <c r="AL2" s="115">
        <f>Chemicals!F2/SUM(Chemicals!B2:C2)*1000</f>
        <v>930.31732418524871</v>
      </c>
      <c r="AM2" s="8" t="s">
        <v>231</v>
      </c>
      <c r="AN2" s="115">
        <f>Chemicals!F3/Chemicals!C3*1000</f>
        <v>3556.8181818181815</v>
      </c>
      <c r="AO2" s="8" t="s">
        <v>232</v>
      </c>
      <c r="AP2" s="115">
        <f>CapitalOperationalCosts!D5</f>
        <v>150757.11363636365</v>
      </c>
      <c r="AQ2" s="8" t="s">
        <v>236</v>
      </c>
      <c r="AR2" s="115">
        <f>CapitalOperationalCosts!D7</f>
        <v>168614.20454545456</v>
      </c>
      <c r="AS2" s="8" t="s">
        <v>237</v>
      </c>
      <c r="AT2" s="115">
        <f>CapitalOperationalCosts!D10</f>
        <v>443062.01136363635</v>
      </c>
      <c r="AU2" s="8" t="s">
        <v>238</v>
      </c>
      <c r="AV2" s="115">
        <f>CapitalOperationalCosts!D12</f>
        <v>463882.04545454547</v>
      </c>
      <c r="AW2" s="8" t="s">
        <v>239</v>
      </c>
      <c r="AX2" s="115">
        <f>CapitalOperationalCosts!D11</f>
        <v>179479.64772727274</v>
      </c>
      <c r="AY2" s="8" t="s">
        <v>240</v>
      </c>
      <c r="AZ2" s="115">
        <f>CapitalOperationalCosts!D13</f>
        <v>104106.04545454546</v>
      </c>
      <c r="BA2" s="8" t="s">
        <v>241</v>
      </c>
      <c r="BB2" s="115">
        <f>CapitalOperationalCosts!D14</f>
        <v>1034090.9090909091</v>
      </c>
      <c r="BC2" s="8" t="s">
        <v>242</v>
      </c>
      <c r="BD2" s="115">
        <f>CapitalOperationalCosts!D8</f>
        <v>409728.45454545453</v>
      </c>
      <c r="BE2" s="8" t="s">
        <v>243</v>
      </c>
      <c r="BF2" s="115">
        <f>CapitalOperationalCosts!D6</f>
        <v>571819.59090909094</v>
      </c>
      <c r="BG2" s="8" t="s">
        <v>245</v>
      </c>
      <c r="BH2" s="115">
        <f>CapitalOperationalCosts!H18</f>
        <v>45002.840909090904</v>
      </c>
      <c r="BI2" s="8" t="s">
        <v>248</v>
      </c>
      <c r="BJ2" s="2">
        <f>CapitalOperationalCosts!B32</f>
        <v>4.8599999999999997E-2</v>
      </c>
      <c r="BK2" s="8" t="s">
        <v>249</v>
      </c>
      <c r="BL2" s="2">
        <f>CapitalOperationalCosts!B31</f>
        <v>6.5000000000000002E-2</v>
      </c>
      <c r="BM2" s="8" t="s">
        <v>252</v>
      </c>
      <c r="BN2" s="117">
        <f>WaterMeterreading!J16</f>
        <v>0.46632774329856064</v>
      </c>
    </row>
    <row r="4" spans="1:261" ht="57" customHeight="1">
      <c r="A4" s="8" t="s">
        <v>206</v>
      </c>
      <c r="B4" s="8" t="s">
        <v>197</v>
      </c>
      <c r="C4" s="8" t="s">
        <v>211</v>
      </c>
      <c r="D4" s="114" t="s">
        <v>208</v>
      </c>
      <c r="E4" s="11" t="s">
        <v>209</v>
      </c>
      <c r="F4" s="8" t="s">
        <v>210</v>
      </c>
      <c r="G4" s="114" t="s">
        <v>208</v>
      </c>
      <c r="H4" s="11" t="s">
        <v>209</v>
      </c>
      <c r="I4" s="8" t="s">
        <v>250</v>
      </c>
      <c r="J4" s="114" t="s">
        <v>208</v>
      </c>
      <c r="K4" s="11" t="s">
        <v>209</v>
      </c>
      <c r="L4" s="8" t="s">
        <v>254</v>
      </c>
      <c r="M4" s="114" t="s">
        <v>217</v>
      </c>
      <c r="N4" s="11" t="s">
        <v>216</v>
      </c>
      <c r="O4" s="8" t="s">
        <v>255</v>
      </c>
      <c r="P4" s="114" t="s">
        <v>217</v>
      </c>
      <c r="Q4" s="11" t="s">
        <v>216</v>
      </c>
      <c r="R4" s="8" t="s">
        <v>256</v>
      </c>
      <c r="S4" s="114" t="s">
        <v>217</v>
      </c>
      <c r="T4" s="11" t="s">
        <v>216</v>
      </c>
    </row>
    <row r="5" spans="1:261" ht="61.8" customHeight="1">
      <c r="A5" s="82"/>
      <c r="B5" s="82" t="s">
        <v>199</v>
      </c>
      <c r="C5" s="213" t="s">
        <v>212</v>
      </c>
      <c r="D5" s="213"/>
      <c r="E5" s="213"/>
      <c r="F5" s="213" t="s">
        <v>207</v>
      </c>
      <c r="G5" s="213"/>
      <c r="H5" s="213"/>
      <c r="I5" s="213" t="s">
        <v>213</v>
      </c>
      <c r="J5" s="213"/>
      <c r="K5" s="213"/>
      <c r="L5" s="213" t="s">
        <v>251</v>
      </c>
      <c r="M5" s="213"/>
      <c r="N5" s="213"/>
      <c r="O5" s="213" t="s">
        <v>251</v>
      </c>
      <c r="P5" s="213"/>
      <c r="Q5" s="213"/>
      <c r="R5" s="213" t="s">
        <v>251</v>
      </c>
      <c r="S5" s="213"/>
      <c r="T5" s="213"/>
    </row>
    <row r="6" spans="1:261">
      <c r="A6" s="82"/>
      <c r="B6" s="82"/>
      <c r="C6" s="82"/>
      <c r="D6" s="84"/>
      <c r="E6" s="82"/>
      <c r="F6" s="82"/>
      <c r="G6" s="84"/>
      <c r="H6" s="82"/>
      <c r="I6" s="82"/>
      <c r="J6" s="82"/>
      <c r="K6" s="82"/>
    </row>
    <row r="7" spans="1:261" ht="28.8">
      <c r="A7" s="82" t="s">
        <v>198</v>
      </c>
      <c r="B7" s="84">
        <f>B2+D2+F2</f>
        <v>379767.50615999999</v>
      </c>
      <c r="C7" s="84">
        <f>B2</f>
        <v>232537</v>
      </c>
      <c r="D7" s="84">
        <f t="shared" ref="D7:D12" si="0">C7-$B7</f>
        <v>-147230.50615999999</v>
      </c>
      <c r="E7" s="113">
        <f t="shared" ref="E7:E12" si="1">(C7-$B7)/$B7</f>
        <v>-0.38768589669167286</v>
      </c>
      <c r="F7" s="84">
        <f>B2+F2</f>
        <v>354565.5</v>
      </c>
      <c r="G7" s="84">
        <f t="shared" ref="G7:G12" si="2">F7-$B7</f>
        <v>-25202.00615999999</v>
      </c>
      <c r="H7" s="113">
        <f t="shared" ref="H7:H12" si="3">(F7-$B7)/$B7</f>
        <v>-6.6361670630615044E-2</v>
      </c>
      <c r="I7" s="84">
        <f>B2+D2</f>
        <v>257739.00615999999</v>
      </c>
      <c r="J7" s="84">
        <f t="shared" ref="J7:J12" si="4">I7-$B7</f>
        <v>-122028.5</v>
      </c>
      <c r="K7" s="113">
        <f t="shared" ref="K7:K12" si="5">(I7-$B7)/$B7</f>
        <v>-0.32132422606105782</v>
      </c>
      <c r="L7" s="115">
        <f>B2-BN2*(B2+D2)</f>
        <v>112346.15089739338</v>
      </c>
      <c r="M7" s="84">
        <f t="shared" ref="M7:M12" si="6">L7-$C7</f>
        <v>-120190.84910260662</v>
      </c>
      <c r="N7" s="113">
        <f>(L7-$C7)/$C7</f>
        <v>-0.51686763440917627</v>
      </c>
      <c r="O7" s="115">
        <f>0.5*(B2+D2+F2)-D2</f>
        <v>164681.74692000001</v>
      </c>
      <c r="P7" s="84">
        <f t="shared" ref="P7:P12" si="7">O7-$C7</f>
        <v>-67855.253079999995</v>
      </c>
      <c r="Q7" s="113">
        <f t="shared" ref="Q7:Q12" si="8">(O7-$C7)/$C7</f>
        <v>-0.29180411323789329</v>
      </c>
      <c r="R7" s="115">
        <f>B2-J2</f>
        <v>145585.88888888888</v>
      </c>
      <c r="S7" s="84">
        <f t="shared" ref="S7:S12" si="9">R7-$C7</f>
        <v>-86951.111111111124</v>
      </c>
      <c r="T7" s="113">
        <f t="shared" ref="T7:T12" si="10">(R7-$C7)/$C7</f>
        <v>-0.37392376744823885</v>
      </c>
      <c r="V7" s="115"/>
    </row>
    <row r="8" spans="1:261">
      <c r="A8" s="82" t="s">
        <v>200</v>
      </c>
      <c r="B8" s="84">
        <f>(N2+P2)*B7/(B2+D2)+R2+T2+V2-Z2</f>
        <v>343776.44908402435</v>
      </c>
      <c r="C8" s="84">
        <f>N2+P2+R2+T2+V2+X2</f>
        <v>302479.93</v>
      </c>
      <c r="D8" s="84">
        <f t="shared" si="0"/>
        <v>-41296.519084024359</v>
      </c>
      <c r="E8" s="113">
        <f t="shared" si="1"/>
        <v>-0.12012608540828473</v>
      </c>
      <c r="F8" s="84">
        <f>(N2+P2)*(F7+D2)/(B2+D2)+R2+T2+V2-Z2</f>
        <v>343776.44908402435</v>
      </c>
      <c r="G8" s="84">
        <f t="shared" si="2"/>
        <v>0</v>
      </c>
      <c r="H8" s="113">
        <f t="shared" si="3"/>
        <v>0</v>
      </c>
      <c r="I8" s="84">
        <f>N2+P2+R2+T2+V2+X2</f>
        <v>302479.93</v>
      </c>
      <c r="J8" s="84">
        <f t="shared" si="4"/>
        <v>-41296.519084024359</v>
      </c>
      <c r="K8" s="113">
        <f t="shared" si="5"/>
        <v>-0.12012608540828473</v>
      </c>
      <c r="L8" s="84">
        <f>(N2+P2+R2)*(L7+D2)/(B2+D2)+T2+V2+X2</f>
        <v>200946.42309454642</v>
      </c>
      <c r="M8" s="84">
        <f t="shared" si="6"/>
        <v>-101533.50690545357</v>
      </c>
      <c r="N8" s="113">
        <f t="shared" ref="N8:N12" si="11">(L8-$C8)/$C8</f>
        <v>-0.33567022746088832</v>
      </c>
      <c r="O8" s="84">
        <f>(N2+P2)*(O7+D2)/(B2+D2)+R2+(T2+V2+X2)*(O7+D2)/F2</f>
        <v>318092.2688323214</v>
      </c>
      <c r="P8" s="84">
        <f t="shared" si="7"/>
        <v>15612.338832321402</v>
      </c>
      <c r="Q8" s="113">
        <f t="shared" si="8"/>
        <v>5.1614461932470698E-2</v>
      </c>
      <c r="R8" s="84">
        <f>(N2+P2)*(R7+D2)/(B2+D2)+R2+T2+V2+X2</f>
        <v>262097.49421892871</v>
      </c>
      <c r="S8" s="84">
        <f t="shared" si="9"/>
        <v>-40382.435781071283</v>
      </c>
      <c r="T8" s="113">
        <f t="shared" si="10"/>
        <v>-0.13350451311289077</v>
      </c>
    </row>
    <row r="9" spans="1:261">
      <c r="A9" s="82" t="s">
        <v>201</v>
      </c>
      <c r="B9" s="84">
        <f>B8*$AB$2/10^6</f>
        <v>260.18913640316487</v>
      </c>
      <c r="C9" s="84">
        <f>C8*$AB$2/10^6</f>
        <v>228.93363398129043</v>
      </c>
      <c r="D9" s="84">
        <f t="shared" si="0"/>
        <v>-31.255502421874439</v>
      </c>
      <c r="E9" s="113">
        <f t="shared" si="1"/>
        <v>-0.12012608540828477</v>
      </c>
      <c r="F9" s="84">
        <f>F8*Energyperm3!$B$24/10^6</f>
        <v>260.18913640316487</v>
      </c>
      <c r="G9" s="84">
        <f t="shared" si="2"/>
        <v>0</v>
      </c>
      <c r="H9" s="113">
        <f t="shared" si="3"/>
        <v>0</v>
      </c>
      <c r="I9" s="84">
        <f>I8*Energyperm3!$B$24/10^6</f>
        <v>228.93363398129043</v>
      </c>
      <c r="J9" s="84">
        <f t="shared" si="4"/>
        <v>-31.255502421874439</v>
      </c>
      <c r="K9" s="113">
        <f t="shared" si="5"/>
        <v>-0.12012608540828477</v>
      </c>
      <c r="L9" s="84">
        <f>L8*Energyperm3!$B$24/10^6</f>
        <v>152.08742898934292</v>
      </c>
      <c r="M9" s="84">
        <f t="shared" si="6"/>
        <v>-76.846204991947502</v>
      </c>
      <c r="N9" s="113">
        <f t="shared" si="11"/>
        <v>-0.33567022746088832</v>
      </c>
      <c r="O9" s="84">
        <f>O8*Energyperm3!$B$24/10^6</f>
        <v>240.74992031747993</v>
      </c>
      <c r="P9" s="84">
        <f t="shared" si="7"/>
        <v>11.816286336189506</v>
      </c>
      <c r="Q9" s="113">
        <f t="shared" si="8"/>
        <v>5.1614461932470747E-2</v>
      </c>
      <c r="R9" s="84">
        <f>R8*Energyperm3!$B$24/10^6</f>
        <v>198.3699606414535</v>
      </c>
      <c r="S9" s="84">
        <f t="shared" si="9"/>
        <v>-30.563673339836924</v>
      </c>
      <c r="T9" s="113">
        <f t="shared" si="10"/>
        <v>-0.13350451311289077</v>
      </c>
    </row>
    <row r="10" spans="1:261">
      <c r="A10" s="82" t="s">
        <v>202</v>
      </c>
      <c r="B10" s="112">
        <f>AH2*B7/(B2+D2)</f>
        <v>5.7008075852551041</v>
      </c>
      <c r="C10" s="112">
        <f>AH2+AJ2</f>
        <v>3.9785000000000004</v>
      </c>
      <c r="D10" s="112">
        <f t="shared" si="0"/>
        <v>-1.7223075852551037</v>
      </c>
      <c r="E10" s="113">
        <f t="shared" si="1"/>
        <v>-0.30211642113825748</v>
      </c>
      <c r="F10" s="112">
        <f>(F7+D2)/(B2+D2)*AH2</f>
        <v>5.7008075852551041</v>
      </c>
      <c r="G10" s="84">
        <f t="shared" si="2"/>
        <v>0</v>
      </c>
      <c r="H10" s="113">
        <f t="shared" si="3"/>
        <v>0</v>
      </c>
      <c r="I10" s="112">
        <f>AH2+AJ2</f>
        <v>3.9785000000000004</v>
      </c>
      <c r="J10" s="112">
        <f t="shared" si="4"/>
        <v>-1.7223075852551037</v>
      </c>
      <c r="K10" s="113">
        <f t="shared" si="5"/>
        <v>-0.30211642113825748</v>
      </c>
      <c r="L10" s="112">
        <f>AH2*(L7+D2)/(B2+D2)+AJ2</f>
        <v>2.1742779611778689</v>
      </c>
      <c r="M10" s="84">
        <f t="shared" si="6"/>
        <v>-1.8042220388221315</v>
      </c>
      <c r="N10" s="113">
        <f t="shared" si="11"/>
        <v>-0.45349303476740765</v>
      </c>
      <c r="O10" s="112">
        <f>AH2*(O7+D2)/(B2+D2)+AJ2*(O7+D2)/F2</f>
        <v>3.0207924392327303</v>
      </c>
      <c r="P10" s="84">
        <f t="shared" si="7"/>
        <v>-0.95770756076727004</v>
      </c>
      <c r="Q10" s="113">
        <f t="shared" si="8"/>
        <v>-0.24072076429992961</v>
      </c>
      <c r="R10" s="112">
        <f>AH2*(R7+D2)/(B2+D2)+AJ2</f>
        <v>2.673249956938808</v>
      </c>
      <c r="S10" s="84">
        <f t="shared" si="9"/>
        <v>-1.3052500430611924</v>
      </c>
      <c r="T10" s="113">
        <f t="shared" si="10"/>
        <v>-0.32807591882900394</v>
      </c>
    </row>
    <row r="11" spans="1:261">
      <c r="A11" s="82" t="s">
        <v>203</v>
      </c>
      <c r="B11" s="84">
        <f>AP2+AR2+AT2+AV2+BD2+BF2-AR2</f>
        <v>2039249.2159090908</v>
      </c>
      <c r="C11" s="84">
        <f>AP2+AR2+AT2+AV2+AX2+AZ2+BB2+BD2+BF2</f>
        <v>3525540.0227272725</v>
      </c>
      <c r="D11" s="84">
        <f t="shared" si="0"/>
        <v>1486290.8068181816</v>
      </c>
      <c r="E11" s="113">
        <f t="shared" si="1"/>
        <v>0.728842161724504</v>
      </c>
      <c r="F11" s="84">
        <f>AP2+AR2+AT2+AV2+BB2+BD2+BF2-AR2</f>
        <v>3073340.125</v>
      </c>
      <c r="G11" s="84">
        <f t="shared" si="2"/>
        <v>1034090.9090909092</v>
      </c>
      <c r="H11" s="113">
        <f t="shared" si="3"/>
        <v>0.50709393487735865</v>
      </c>
      <c r="I11" s="84">
        <f>AP2+AR2+AT2+AV2+AZ2*0.5+BD2+BF2</f>
        <v>2259916.4431818184</v>
      </c>
      <c r="J11" s="84">
        <f t="shared" si="4"/>
        <v>220667.22727272753</v>
      </c>
      <c r="K11" s="113">
        <f t="shared" si="5"/>
        <v>0.10821003413962564</v>
      </c>
      <c r="L11" s="84">
        <f>C11</f>
        <v>3525540.0227272725</v>
      </c>
      <c r="M11" s="84">
        <f t="shared" si="6"/>
        <v>0</v>
      </c>
      <c r="N11" s="113">
        <f t="shared" si="11"/>
        <v>0</v>
      </c>
      <c r="O11" s="84">
        <f>C11</f>
        <v>3525540.0227272725</v>
      </c>
      <c r="P11" s="84">
        <f t="shared" si="7"/>
        <v>0</v>
      </c>
      <c r="Q11" s="113">
        <f t="shared" si="8"/>
        <v>0</v>
      </c>
      <c r="R11" s="84">
        <f>O11</f>
        <v>3525540.0227272725</v>
      </c>
      <c r="S11" s="84">
        <f t="shared" si="9"/>
        <v>0</v>
      </c>
      <c r="T11" s="113">
        <f t="shared" si="10"/>
        <v>0</v>
      </c>
    </row>
    <row r="12" spans="1:261">
      <c r="A12" s="82" t="s">
        <v>204</v>
      </c>
      <c r="B12" s="84">
        <f>B7*L2+B8*AD2*AF2+AH2*B7/(B2+D2)*AL2+BH2</f>
        <v>115005.70574665265</v>
      </c>
      <c r="C12" s="84">
        <f>C7*L2+C8*AD2*AF2+AH2*AL2+AJ2*AN2+BH2</f>
        <v>93564.025017473119</v>
      </c>
      <c r="D12" s="84">
        <f t="shared" si="0"/>
        <v>-21441.680729179527</v>
      </c>
      <c r="E12" s="113">
        <f t="shared" si="1"/>
        <v>-0.18644014738202333</v>
      </c>
      <c r="F12" s="84">
        <f>F7*L2+F8*AD2*AF2+AH2*(F7+D2)/(B2+D2)*AL2+BH2</f>
        <v>111941.37090674354</v>
      </c>
      <c r="G12" s="84">
        <f t="shared" si="2"/>
        <v>-3064.3348399091046</v>
      </c>
      <c r="H12" s="113">
        <f t="shared" si="3"/>
        <v>-2.6645067912191785E-2</v>
      </c>
      <c r="I12" s="84">
        <f>I7*L2+I8*AD2*AF2+AH2*AL2+AJ2*AN2+BH2</f>
        <v>96628.359857382209</v>
      </c>
      <c r="J12" s="84">
        <f t="shared" si="4"/>
        <v>-18377.345889270437</v>
      </c>
      <c r="K12" s="113">
        <f t="shared" si="5"/>
        <v>-0.15979507946983168</v>
      </c>
      <c r="L12" s="84">
        <f>L7*L2+L8*AD2*AF2+AH2*(L7+D2)/(B2+D2)*AL2+AJ2*AN2+BH2</f>
        <v>71800.681667756377</v>
      </c>
      <c r="M12" s="84">
        <f t="shared" si="6"/>
        <v>-21763.343349716743</v>
      </c>
      <c r="N12" s="113">
        <f t="shared" si="11"/>
        <v>-0.23260375283825627</v>
      </c>
      <c r="O12" s="84">
        <f>O7*L2+O8*AD2*AF2+AH2*(O7+D2)/(B2+D2)*AL2+AJ2*(O7+D2)/F2*AN2+BH2</f>
        <v>85423.604121129654</v>
      </c>
      <c r="P12" s="84">
        <f t="shared" si="7"/>
        <v>-8140.4208963434648</v>
      </c>
      <c r="Q12" s="113">
        <f t="shared" si="8"/>
        <v>-8.7003748447367857E-2</v>
      </c>
      <c r="R12" s="84">
        <f>R7*L2+R8*AD2*AF2+(R7+D2)/(B2+D2)*AH2*AL2+AJ2*AN2+BH2</f>
        <v>79601.416492508259</v>
      </c>
      <c r="S12" s="84">
        <f t="shared" si="9"/>
        <v>-13962.60852496486</v>
      </c>
      <c r="T12" s="113">
        <f t="shared" si="10"/>
        <v>-0.14923052447088866</v>
      </c>
    </row>
    <row r="13" spans="1:261">
      <c r="A13" s="82" t="s">
        <v>215</v>
      </c>
      <c r="B13" s="84"/>
      <c r="D13" s="82" t="s">
        <v>259</v>
      </c>
      <c r="E13" s="82"/>
      <c r="F13" s="82" t="s">
        <v>259</v>
      </c>
      <c r="G13" s="82"/>
      <c r="H13" s="82"/>
      <c r="I13" s="82">
        <v>15</v>
      </c>
      <c r="J13" s="31"/>
      <c r="K13" s="31"/>
      <c r="L13" s="31"/>
    </row>
    <row r="14" spans="1:261">
      <c r="A14" s="82"/>
      <c r="B14" s="84"/>
      <c r="C14" s="82"/>
      <c r="D14" s="84"/>
      <c r="E14" s="82"/>
      <c r="F14" s="82"/>
      <c r="G14" s="82"/>
      <c r="H14" s="82"/>
      <c r="I14" s="82"/>
      <c r="J14" s="31"/>
      <c r="K14" s="31"/>
      <c r="L14" s="31"/>
    </row>
    <row r="15" spans="1:261">
      <c r="A15" s="82"/>
      <c r="B15" s="82"/>
      <c r="C15" s="82"/>
      <c r="D15" s="84" t="s">
        <v>152</v>
      </c>
      <c r="E15" s="82"/>
      <c r="F15" s="82"/>
      <c r="G15" s="82"/>
      <c r="DA15" s="31"/>
      <c r="DB15" s="31"/>
      <c r="DC15" s="31"/>
      <c r="DD15" s="31"/>
      <c r="DE15" s="31"/>
    </row>
    <row r="16" spans="1:261" ht="18.75" customHeight="1">
      <c r="A16" s="11" t="str">
        <f>C4</f>
        <v>Current system</v>
      </c>
      <c r="B16" s="82"/>
      <c r="C16" s="82" t="s">
        <v>247</v>
      </c>
      <c r="D16" s="71">
        <v>0</v>
      </c>
      <c r="E16" s="82">
        <v>1</v>
      </c>
      <c r="F16" s="71">
        <v>2</v>
      </c>
      <c r="G16" s="82">
        <v>3</v>
      </c>
      <c r="H16" s="71">
        <v>4</v>
      </c>
      <c r="I16" s="82">
        <v>5</v>
      </c>
      <c r="J16" s="71">
        <v>6</v>
      </c>
      <c r="K16" s="82">
        <v>7</v>
      </c>
      <c r="L16" s="71">
        <v>8</v>
      </c>
      <c r="M16" s="82">
        <v>9</v>
      </c>
      <c r="N16" s="71">
        <v>10</v>
      </c>
      <c r="O16" s="82">
        <v>11</v>
      </c>
      <c r="P16" s="71">
        <v>12</v>
      </c>
      <c r="Q16" s="82">
        <v>13</v>
      </c>
      <c r="R16" s="71">
        <v>14</v>
      </c>
      <c r="S16" s="82">
        <v>15</v>
      </c>
      <c r="T16" s="71">
        <v>16</v>
      </c>
      <c r="U16" s="82">
        <v>17</v>
      </c>
      <c r="V16" s="71">
        <v>18</v>
      </c>
      <c r="W16" s="82">
        <v>19</v>
      </c>
      <c r="X16" s="71">
        <v>20</v>
      </c>
      <c r="Y16" s="82">
        <v>21</v>
      </c>
      <c r="Z16" s="71">
        <v>22</v>
      </c>
      <c r="AA16" s="82">
        <v>23</v>
      </c>
      <c r="AB16" s="71">
        <v>24</v>
      </c>
      <c r="AC16" s="82">
        <v>25</v>
      </c>
      <c r="AD16" s="71">
        <v>26</v>
      </c>
      <c r="AE16" s="82">
        <v>27</v>
      </c>
      <c r="AF16" s="71">
        <v>28</v>
      </c>
      <c r="AG16" s="82">
        <v>29</v>
      </c>
      <c r="AH16" s="71">
        <v>30</v>
      </c>
      <c r="AI16" s="82">
        <v>31</v>
      </c>
      <c r="AJ16" s="71">
        <v>32</v>
      </c>
      <c r="AK16" s="82">
        <v>33</v>
      </c>
      <c r="AL16" s="71">
        <v>34</v>
      </c>
      <c r="AM16" s="82">
        <v>35</v>
      </c>
      <c r="AN16" s="71">
        <v>36</v>
      </c>
      <c r="AO16" s="82">
        <v>37</v>
      </c>
      <c r="AP16" s="71">
        <v>38</v>
      </c>
      <c r="AQ16" s="82">
        <v>39</v>
      </c>
      <c r="AR16" s="71">
        <v>40</v>
      </c>
      <c r="AS16" s="82">
        <v>41</v>
      </c>
      <c r="AT16" s="71">
        <v>42</v>
      </c>
      <c r="AU16" s="82">
        <v>43</v>
      </c>
      <c r="AV16" s="71">
        <v>44</v>
      </c>
      <c r="AW16" s="82">
        <v>45</v>
      </c>
      <c r="AX16" s="71">
        <v>46</v>
      </c>
      <c r="AY16" s="82">
        <v>47</v>
      </c>
      <c r="AZ16" s="71">
        <v>48</v>
      </c>
      <c r="BA16" s="82">
        <v>49</v>
      </c>
      <c r="BB16" s="71">
        <v>50</v>
      </c>
      <c r="BC16" s="82">
        <v>51</v>
      </c>
      <c r="BD16" s="71">
        <v>52</v>
      </c>
      <c r="BE16" s="82">
        <v>53</v>
      </c>
      <c r="BF16" s="71">
        <v>54</v>
      </c>
      <c r="BG16" s="82">
        <v>55</v>
      </c>
      <c r="BH16" s="71">
        <v>56</v>
      </c>
      <c r="BI16" s="82">
        <v>57</v>
      </c>
      <c r="BJ16" s="71">
        <v>58</v>
      </c>
      <c r="BK16" s="82">
        <v>59</v>
      </c>
      <c r="BL16" s="71">
        <v>60</v>
      </c>
      <c r="BM16" s="82">
        <v>61</v>
      </c>
      <c r="BN16" s="71">
        <v>62</v>
      </c>
      <c r="BO16" s="82">
        <v>63</v>
      </c>
      <c r="BP16" s="71">
        <v>64</v>
      </c>
      <c r="BQ16" s="82">
        <v>65</v>
      </c>
      <c r="BR16" s="71">
        <v>66</v>
      </c>
      <c r="BS16" s="82">
        <v>67</v>
      </c>
      <c r="BT16" s="71">
        <v>68</v>
      </c>
      <c r="BU16" s="82">
        <v>69</v>
      </c>
      <c r="BV16" s="71">
        <v>70</v>
      </c>
      <c r="BW16" s="82">
        <v>71</v>
      </c>
      <c r="BX16" s="71">
        <v>72</v>
      </c>
      <c r="BY16" s="82">
        <v>73</v>
      </c>
      <c r="BZ16" s="71">
        <v>74</v>
      </c>
      <c r="CA16" s="82">
        <v>75</v>
      </c>
      <c r="CB16" s="71">
        <v>76</v>
      </c>
      <c r="CC16" s="82">
        <v>77</v>
      </c>
      <c r="CD16" s="71">
        <v>78</v>
      </c>
      <c r="CE16" s="82">
        <v>79</v>
      </c>
      <c r="CF16" s="71">
        <v>80</v>
      </c>
      <c r="CG16" s="82">
        <v>81</v>
      </c>
      <c r="CH16" s="71">
        <v>82</v>
      </c>
      <c r="CI16" s="82">
        <v>83</v>
      </c>
      <c r="CJ16" s="71">
        <v>84</v>
      </c>
      <c r="CK16" s="82">
        <v>85</v>
      </c>
      <c r="CL16" s="71">
        <v>86</v>
      </c>
      <c r="CM16" s="82">
        <v>87</v>
      </c>
      <c r="CN16" s="71">
        <v>88</v>
      </c>
      <c r="CO16" s="82">
        <v>89</v>
      </c>
      <c r="CP16" s="71">
        <v>90</v>
      </c>
      <c r="CQ16" s="82">
        <v>91</v>
      </c>
      <c r="CR16" s="71">
        <v>92</v>
      </c>
      <c r="CS16" s="82">
        <v>93</v>
      </c>
      <c r="CT16" s="71">
        <v>94</v>
      </c>
      <c r="CU16" s="82">
        <v>95</v>
      </c>
      <c r="CV16" s="71">
        <v>96</v>
      </c>
      <c r="CW16" s="82">
        <v>97</v>
      </c>
      <c r="CX16" s="71">
        <v>98</v>
      </c>
      <c r="CY16" s="82">
        <v>99</v>
      </c>
      <c r="CZ16" s="71">
        <v>100</v>
      </c>
      <c r="DA16" s="82">
        <v>101</v>
      </c>
      <c r="DB16" s="71">
        <v>102</v>
      </c>
      <c r="DC16" s="82">
        <v>103</v>
      </c>
      <c r="DD16" s="71">
        <v>104</v>
      </c>
      <c r="DE16" s="82">
        <v>105</v>
      </c>
      <c r="DF16" s="71">
        <v>106</v>
      </c>
      <c r="DG16" s="82">
        <v>107</v>
      </c>
      <c r="DH16" s="71">
        <v>108</v>
      </c>
      <c r="DI16" s="82">
        <v>109</v>
      </c>
      <c r="DJ16" s="71">
        <v>110</v>
      </c>
      <c r="DK16" s="82">
        <v>111</v>
      </c>
      <c r="DL16" s="71">
        <v>112</v>
      </c>
      <c r="DM16" s="82">
        <v>113</v>
      </c>
      <c r="DN16" s="71">
        <v>114</v>
      </c>
      <c r="DO16" s="82">
        <v>115</v>
      </c>
      <c r="DP16" s="71">
        <v>116</v>
      </c>
      <c r="DQ16" s="82">
        <v>117</v>
      </c>
      <c r="DR16" s="71">
        <v>118</v>
      </c>
      <c r="DS16" s="82">
        <v>119</v>
      </c>
      <c r="DT16" s="71">
        <v>120</v>
      </c>
      <c r="DU16" s="82">
        <v>121</v>
      </c>
      <c r="DV16" s="71">
        <v>122</v>
      </c>
      <c r="DW16" s="82">
        <v>123</v>
      </c>
      <c r="DX16" s="71">
        <v>124</v>
      </c>
      <c r="DY16" s="82">
        <v>125</v>
      </c>
      <c r="DZ16" s="71">
        <v>126</v>
      </c>
      <c r="EA16" s="82">
        <v>127</v>
      </c>
      <c r="EB16" s="71">
        <v>128</v>
      </c>
      <c r="EC16" s="82">
        <v>129</v>
      </c>
      <c r="ED16" s="71">
        <v>130</v>
      </c>
      <c r="EE16" s="82">
        <v>131</v>
      </c>
      <c r="EF16" s="71">
        <v>132</v>
      </c>
      <c r="EG16" s="82">
        <v>133</v>
      </c>
      <c r="EH16" s="71">
        <v>134</v>
      </c>
      <c r="EI16" s="82">
        <v>135</v>
      </c>
      <c r="EJ16" s="71">
        <v>136</v>
      </c>
      <c r="EK16" s="82">
        <v>137</v>
      </c>
      <c r="EL16" s="71">
        <v>138</v>
      </c>
      <c r="EM16" s="82">
        <v>139</v>
      </c>
      <c r="EN16" s="71">
        <v>140</v>
      </c>
      <c r="EO16" s="82">
        <v>141</v>
      </c>
      <c r="EP16" s="71">
        <v>142</v>
      </c>
      <c r="EQ16" s="82">
        <v>143</v>
      </c>
      <c r="ER16" s="71">
        <v>144</v>
      </c>
      <c r="ES16" s="82">
        <v>145</v>
      </c>
      <c r="ET16" s="71">
        <v>146</v>
      </c>
      <c r="EU16" s="82">
        <v>147</v>
      </c>
      <c r="EV16" s="71">
        <v>148</v>
      </c>
      <c r="EW16" s="82">
        <v>149</v>
      </c>
      <c r="EX16" s="71">
        <v>150</v>
      </c>
      <c r="EY16" s="82">
        <v>151</v>
      </c>
      <c r="EZ16" s="71">
        <v>152</v>
      </c>
      <c r="FA16" s="82">
        <v>153</v>
      </c>
      <c r="FB16" s="71">
        <v>154</v>
      </c>
      <c r="FC16" s="82">
        <v>155</v>
      </c>
      <c r="FD16" s="71">
        <v>156</v>
      </c>
      <c r="FE16" s="82">
        <v>157</v>
      </c>
      <c r="FF16" s="71">
        <v>158</v>
      </c>
      <c r="FG16" s="82">
        <v>159</v>
      </c>
      <c r="FH16" s="71">
        <v>160</v>
      </c>
      <c r="FI16" s="82">
        <v>161</v>
      </c>
      <c r="FJ16" s="71">
        <v>162</v>
      </c>
      <c r="FK16" s="82">
        <v>163</v>
      </c>
      <c r="FL16" s="71">
        <v>164</v>
      </c>
      <c r="FM16" s="82">
        <v>165</v>
      </c>
      <c r="FN16" s="71">
        <v>166</v>
      </c>
      <c r="FO16" s="82">
        <v>167</v>
      </c>
      <c r="FP16" s="71">
        <v>168</v>
      </c>
      <c r="FQ16" s="82">
        <v>169</v>
      </c>
      <c r="FR16" s="71">
        <v>170</v>
      </c>
      <c r="FS16" s="82">
        <v>171</v>
      </c>
      <c r="FT16" s="71">
        <v>172</v>
      </c>
      <c r="FU16" s="82">
        <v>173</v>
      </c>
      <c r="FV16" s="71">
        <v>174</v>
      </c>
      <c r="FW16" s="82">
        <v>175</v>
      </c>
      <c r="FX16" s="71">
        <v>176</v>
      </c>
      <c r="FY16" s="82">
        <v>177</v>
      </c>
      <c r="FZ16" s="71">
        <v>178</v>
      </c>
      <c r="GA16" s="82">
        <v>179</v>
      </c>
      <c r="GB16" s="71">
        <v>180</v>
      </c>
      <c r="GC16" s="82">
        <v>181</v>
      </c>
      <c r="GD16" s="71">
        <v>182</v>
      </c>
      <c r="GE16" s="82">
        <v>183</v>
      </c>
      <c r="GF16" s="71">
        <v>184</v>
      </c>
      <c r="GG16" s="82">
        <v>185</v>
      </c>
      <c r="GH16" s="71">
        <v>186</v>
      </c>
      <c r="GI16" s="82">
        <v>187</v>
      </c>
      <c r="GJ16" s="71">
        <v>188</v>
      </c>
      <c r="GK16" s="82">
        <v>189</v>
      </c>
      <c r="GL16" s="71">
        <v>190</v>
      </c>
      <c r="GM16" s="82">
        <v>191</v>
      </c>
      <c r="GN16" s="71">
        <v>192</v>
      </c>
      <c r="GO16" s="82">
        <v>193</v>
      </c>
      <c r="GP16" s="71">
        <v>194</v>
      </c>
      <c r="GQ16" s="82">
        <v>195</v>
      </c>
      <c r="GR16" s="71">
        <v>196</v>
      </c>
      <c r="GS16" s="82">
        <v>197</v>
      </c>
      <c r="GT16" s="71">
        <v>198</v>
      </c>
      <c r="GU16" s="82">
        <v>199</v>
      </c>
      <c r="GV16" s="71">
        <v>200</v>
      </c>
      <c r="GW16" s="82">
        <v>201</v>
      </c>
      <c r="GX16" s="71">
        <v>202</v>
      </c>
      <c r="GY16" s="82">
        <v>203</v>
      </c>
      <c r="GZ16" s="71">
        <v>204</v>
      </c>
      <c r="HA16" s="82">
        <v>205</v>
      </c>
      <c r="HB16" s="71">
        <v>206</v>
      </c>
      <c r="HC16" s="82">
        <v>207</v>
      </c>
      <c r="HD16" s="71">
        <v>208</v>
      </c>
      <c r="HE16" s="82">
        <v>209</v>
      </c>
      <c r="HF16" s="71">
        <v>210</v>
      </c>
      <c r="HG16" s="82">
        <v>211</v>
      </c>
      <c r="HH16" s="71">
        <v>212</v>
      </c>
      <c r="HI16" s="82">
        <v>213</v>
      </c>
      <c r="HJ16" s="71">
        <v>214</v>
      </c>
      <c r="HK16" s="82">
        <v>215</v>
      </c>
      <c r="HL16" s="71">
        <v>216</v>
      </c>
      <c r="HM16" s="82">
        <v>217</v>
      </c>
      <c r="HN16" s="71">
        <v>218</v>
      </c>
      <c r="HO16" s="82">
        <v>219</v>
      </c>
      <c r="HP16" s="71">
        <v>220</v>
      </c>
      <c r="HQ16" s="82">
        <v>221</v>
      </c>
      <c r="HR16" s="71">
        <v>222</v>
      </c>
      <c r="HS16" s="82">
        <v>223</v>
      </c>
      <c r="HT16" s="71">
        <v>224</v>
      </c>
      <c r="HU16" s="82">
        <v>225</v>
      </c>
      <c r="HV16" s="71">
        <v>226</v>
      </c>
      <c r="HW16" s="82">
        <v>227</v>
      </c>
      <c r="HX16" s="71">
        <v>228</v>
      </c>
      <c r="HY16" s="82">
        <v>229</v>
      </c>
      <c r="HZ16" s="71">
        <v>230</v>
      </c>
      <c r="IA16" s="82">
        <v>231</v>
      </c>
      <c r="IB16" s="71">
        <v>232</v>
      </c>
      <c r="IC16" s="82">
        <v>233</v>
      </c>
      <c r="ID16" s="71">
        <v>234</v>
      </c>
      <c r="IE16" s="82">
        <v>235</v>
      </c>
      <c r="IF16" s="71">
        <v>236</v>
      </c>
      <c r="IG16" s="82">
        <v>237</v>
      </c>
      <c r="IH16" s="71">
        <v>238</v>
      </c>
      <c r="II16" s="82">
        <v>239</v>
      </c>
      <c r="IJ16" s="71">
        <v>240</v>
      </c>
      <c r="IK16" s="82">
        <v>241</v>
      </c>
      <c r="IL16" s="71">
        <v>242</v>
      </c>
      <c r="IM16" s="82">
        <v>243</v>
      </c>
      <c r="IN16" s="71">
        <v>244</v>
      </c>
      <c r="IO16" s="82">
        <v>245</v>
      </c>
      <c r="IP16" s="71">
        <v>246</v>
      </c>
      <c r="IQ16" s="82">
        <v>247</v>
      </c>
      <c r="IR16" s="71">
        <v>248</v>
      </c>
      <c r="IS16" s="82">
        <v>249</v>
      </c>
      <c r="IT16" s="71">
        <v>250</v>
      </c>
      <c r="IU16" s="82"/>
      <c r="IV16" s="71"/>
      <c r="IW16" s="82"/>
      <c r="IX16" s="71"/>
      <c r="IY16" s="82"/>
      <c r="IZ16" s="71"/>
      <c r="JA16" s="82"/>
    </row>
    <row r="17" spans="1:261" ht="15" customHeight="1">
      <c r="A17" s="82" t="s">
        <v>246</v>
      </c>
      <c r="B17" s="82" t="s">
        <v>151</v>
      </c>
      <c r="C17" s="84">
        <f>NPV($BL$2,E17:IT17)+D17</f>
        <v>-205878.25222871685</v>
      </c>
      <c r="D17" s="85">
        <f>-D11</f>
        <v>-1486290.8068181816</v>
      </c>
      <c r="E17" s="85">
        <f>-D12</f>
        <v>21441.680729179527</v>
      </c>
      <c r="F17" s="84">
        <f t="shared" ref="F17:AK17" si="12">E17*(1+$BJ$2)</f>
        <v>22483.746412617653</v>
      </c>
      <c r="G17" s="84">
        <f t="shared" si="12"/>
        <v>23576.456488270869</v>
      </c>
      <c r="H17" s="84">
        <f t="shared" si="12"/>
        <v>24722.272273600833</v>
      </c>
      <c r="I17" s="84">
        <f t="shared" si="12"/>
        <v>25923.774706097833</v>
      </c>
      <c r="J17" s="84">
        <f t="shared" si="12"/>
        <v>27183.670156814187</v>
      </c>
      <c r="K17" s="84">
        <f t="shared" si="12"/>
        <v>28504.796526435355</v>
      </c>
      <c r="L17" s="84">
        <f t="shared" si="12"/>
        <v>29890.129637620113</v>
      </c>
      <c r="M17" s="84">
        <f t="shared" si="12"/>
        <v>31342.789938008449</v>
      </c>
      <c r="N17" s="84">
        <f t="shared" si="12"/>
        <v>32866.04952899566</v>
      </c>
      <c r="O17" s="84">
        <f t="shared" si="12"/>
        <v>34463.339536104846</v>
      </c>
      <c r="P17" s="84">
        <f t="shared" si="12"/>
        <v>36138.25783755954</v>
      </c>
      <c r="Q17" s="84">
        <f t="shared" si="12"/>
        <v>37894.57716846493</v>
      </c>
      <c r="R17" s="84">
        <f t="shared" si="12"/>
        <v>39736.253618852323</v>
      </c>
      <c r="S17" s="84">
        <f t="shared" si="12"/>
        <v>41667.435544728542</v>
      </c>
      <c r="T17" s="84">
        <f t="shared" si="12"/>
        <v>43692.472912202349</v>
      </c>
      <c r="U17" s="84">
        <f t="shared" si="12"/>
        <v>45815.92709573538</v>
      </c>
      <c r="V17" s="84">
        <f t="shared" si="12"/>
        <v>48042.581152588122</v>
      </c>
      <c r="W17" s="84">
        <f t="shared" si="12"/>
        <v>50377.450596603907</v>
      </c>
      <c r="X17" s="84">
        <f t="shared" si="12"/>
        <v>52825.794695598859</v>
      </c>
      <c r="Y17" s="84">
        <f t="shared" si="12"/>
        <v>55393.128317804963</v>
      </c>
      <c r="Z17" s="84">
        <f t="shared" si="12"/>
        <v>58085.234354050284</v>
      </c>
      <c r="AA17" s="84">
        <f t="shared" si="12"/>
        <v>60908.176743657124</v>
      </c>
      <c r="AB17" s="84">
        <f t="shared" si="12"/>
        <v>63868.314133398861</v>
      </c>
      <c r="AC17" s="84">
        <f t="shared" si="12"/>
        <v>66972.314200282039</v>
      </c>
      <c r="AD17" s="84">
        <f t="shared" si="12"/>
        <v>70227.168670415747</v>
      </c>
      <c r="AE17" s="84">
        <f t="shared" si="12"/>
        <v>73640.209067797958</v>
      </c>
      <c r="AF17" s="84">
        <f t="shared" si="12"/>
        <v>77219.123228492943</v>
      </c>
      <c r="AG17" s="84">
        <f t="shared" si="12"/>
        <v>80971.972617397696</v>
      </c>
      <c r="AH17" s="84">
        <f t="shared" si="12"/>
        <v>84907.210486603217</v>
      </c>
      <c r="AI17" s="84">
        <f t="shared" si="12"/>
        <v>89033.700916252128</v>
      </c>
      <c r="AJ17" s="84">
        <f t="shared" si="12"/>
        <v>93360.738780781976</v>
      </c>
      <c r="AK17" s="84">
        <f t="shared" si="12"/>
        <v>97898.070685527971</v>
      </c>
      <c r="AL17" s="84">
        <f t="shared" ref="AL17:BQ17" si="13">AK17*(1+$BJ$2)</f>
        <v>102655.91692084463</v>
      </c>
      <c r="AM17" s="84">
        <f t="shared" si="13"/>
        <v>107644.99448319768</v>
      </c>
      <c r="AN17" s="84">
        <f t="shared" si="13"/>
        <v>112876.54121508107</v>
      </c>
      <c r="AO17" s="84">
        <f t="shared" si="13"/>
        <v>118362.34111813401</v>
      </c>
      <c r="AP17" s="84">
        <f t="shared" si="13"/>
        <v>124114.75089647532</v>
      </c>
      <c r="AQ17" s="84">
        <f t="shared" si="13"/>
        <v>130146.72779004402</v>
      </c>
      <c r="AR17" s="84">
        <f t="shared" si="13"/>
        <v>136471.85876064017</v>
      </c>
      <c r="AS17" s="84">
        <f t="shared" si="13"/>
        <v>143104.39109640729</v>
      </c>
      <c r="AT17" s="84">
        <f t="shared" si="13"/>
        <v>150059.26450369268</v>
      </c>
      <c r="AU17" s="84">
        <f t="shared" si="13"/>
        <v>157352.14475857213</v>
      </c>
      <c r="AV17" s="84">
        <f t="shared" si="13"/>
        <v>164999.45899383872</v>
      </c>
      <c r="AW17" s="84">
        <f t="shared" si="13"/>
        <v>173018.43270093927</v>
      </c>
      <c r="AX17" s="84">
        <f t="shared" si="13"/>
        <v>181427.12853020491</v>
      </c>
      <c r="AY17" s="84">
        <f t="shared" si="13"/>
        <v>190244.48697677287</v>
      </c>
      <c r="AZ17" s="84">
        <f t="shared" si="13"/>
        <v>199490.36904384402</v>
      </c>
      <c r="BA17" s="84">
        <f t="shared" si="13"/>
        <v>209185.60097937484</v>
      </c>
      <c r="BB17" s="84">
        <f t="shared" si="13"/>
        <v>219352.02118697244</v>
      </c>
      <c r="BC17" s="84">
        <f t="shared" si="13"/>
        <v>230012.52941665929</v>
      </c>
      <c r="BD17" s="84">
        <f t="shared" si="13"/>
        <v>241191.13834630893</v>
      </c>
      <c r="BE17" s="84">
        <f t="shared" si="13"/>
        <v>252913.02766993953</v>
      </c>
      <c r="BF17" s="84">
        <f t="shared" si="13"/>
        <v>265204.60081469861</v>
      </c>
      <c r="BG17" s="84">
        <f t="shared" si="13"/>
        <v>278093.54441429296</v>
      </c>
      <c r="BH17" s="84">
        <f t="shared" si="13"/>
        <v>291608.89067282761</v>
      </c>
      <c r="BI17" s="84">
        <f t="shared" si="13"/>
        <v>305781.08275952702</v>
      </c>
      <c r="BJ17" s="84">
        <f t="shared" si="13"/>
        <v>320642.04338164005</v>
      </c>
      <c r="BK17" s="84">
        <f t="shared" si="13"/>
        <v>336225.24668998772</v>
      </c>
      <c r="BL17" s="84">
        <f t="shared" si="13"/>
        <v>352565.79367912113</v>
      </c>
      <c r="BM17" s="84">
        <f t="shared" si="13"/>
        <v>369700.4912519264</v>
      </c>
      <c r="BN17" s="84">
        <f t="shared" si="13"/>
        <v>387667.93512677</v>
      </c>
      <c r="BO17" s="84">
        <f t="shared" si="13"/>
        <v>406508.596773931</v>
      </c>
      <c r="BP17" s="84">
        <f t="shared" si="13"/>
        <v>426264.91457714402</v>
      </c>
      <c r="BQ17" s="84">
        <f t="shared" si="13"/>
        <v>446981.3894255932</v>
      </c>
      <c r="BR17" s="84">
        <f t="shared" ref="BR17:CZ17" si="14">BQ17*(1+$BJ$2)</f>
        <v>468704.68495167699</v>
      </c>
      <c r="BS17" s="84">
        <f t="shared" si="14"/>
        <v>491483.73264032847</v>
      </c>
      <c r="BT17" s="84">
        <f t="shared" si="14"/>
        <v>515369.84204664844</v>
      </c>
      <c r="BU17" s="84">
        <f t="shared" si="14"/>
        <v>540416.8163701155</v>
      </c>
      <c r="BV17" s="84">
        <f t="shared" si="14"/>
        <v>566681.07364570315</v>
      </c>
      <c r="BW17" s="84">
        <f t="shared" si="14"/>
        <v>594221.77382488432</v>
      </c>
      <c r="BX17" s="84">
        <f t="shared" si="14"/>
        <v>623100.95203277364</v>
      </c>
      <c r="BY17" s="84">
        <f t="shared" si="14"/>
        <v>653383.65830156638</v>
      </c>
      <c r="BZ17" s="84">
        <f t="shared" si="14"/>
        <v>685138.10409502254</v>
      </c>
      <c r="CA17" s="84">
        <f t="shared" si="14"/>
        <v>718435.81595404062</v>
      </c>
      <c r="CB17" s="84">
        <f t="shared" si="14"/>
        <v>753351.79660940694</v>
      </c>
      <c r="CC17" s="84">
        <f t="shared" si="14"/>
        <v>789964.69392462412</v>
      </c>
      <c r="CD17" s="84">
        <f t="shared" si="14"/>
        <v>828356.9780493608</v>
      </c>
      <c r="CE17" s="84">
        <f t="shared" si="14"/>
        <v>868615.12718255969</v>
      </c>
      <c r="CF17" s="84">
        <f t="shared" si="14"/>
        <v>910829.82236363203</v>
      </c>
      <c r="CG17" s="84">
        <f t="shared" si="14"/>
        <v>955096.15173050459</v>
      </c>
      <c r="CH17" s="84">
        <f t="shared" si="14"/>
        <v>1001513.8247046071</v>
      </c>
      <c r="CI17" s="84">
        <f t="shared" si="14"/>
        <v>1050187.396585251</v>
      </c>
      <c r="CJ17" s="84">
        <f t="shared" si="14"/>
        <v>1101226.5040592942</v>
      </c>
      <c r="CK17" s="84">
        <f t="shared" si="14"/>
        <v>1154746.112156576</v>
      </c>
      <c r="CL17" s="84">
        <f t="shared" si="14"/>
        <v>1210866.7732073856</v>
      </c>
      <c r="CM17" s="84">
        <f t="shared" si="14"/>
        <v>1269714.8983852644</v>
      </c>
      <c r="CN17" s="84">
        <f t="shared" si="14"/>
        <v>1331423.0424467882</v>
      </c>
      <c r="CO17" s="84">
        <f t="shared" si="14"/>
        <v>1396130.2023097021</v>
      </c>
      <c r="CP17" s="84">
        <f t="shared" si="14"/>
        <v>1463982.1301419535</v>
      </c>
      <c r="CQ17" s="84">
        <f t="shared" si="14"/>
        <v>1535131.6616668524</v>
      </c>
      <c r="CR17" s="84">
        <f t="shared" si="14"/>
        <v>1609739.0604238615</v>
      </c>
      <c r="CS17" s="84">
        <f t="shared" si="14"/>
        <v>1687972.3787604612</v>
      </c>
      <c r="CT17" s="84">
        <f t="shared" si="14"/>
        <v>1770007.8363682197</v>
      </c>
      <c r="CU17" s="84">
        <f t="shared" si="14"/>
        <v>1856030.2172157152</v>
      </c>
      <c r="CV17" s="84">
        <f t="shared" si="14"/>
        <v>1946233.2857723988</v>
      </c>
      <c r="CW17" s="84">
        <f t="shared" si="14"/>
        <v>2040820.2234609374</v>
      </c>
      <c r="CX17" s="84">
        <f t="shared" si="14"/>
        <v>2140004.0863211388</v>
      </c>
      <c r="CY17" s="84">
        <f t="shared" si="14"/>
        <v>2244008.284916346</v>
      </c>
      <c r="CZ17" s="84">
        <f t="shared" si="14"/>
        <v>2353067.0875632805</v>
      </c>
      <c r="DA17" s="84">
        <f t="shared" ref="DA17:FL17" si="15">CZ17*(1+$BJ$2)</f>
        <v>2467426.1480188561</v>
      </c>
      <c r="DB17" s="84">
        <f t="shared" si="15"/>
        <v>2587343.0588125726</v>
      </c>
      <c r="DC17" s="84">
        <f t="shared" si="15"/>
        <v>2713087.9314708635</v>
      </c>
      <c r="DD17" s="84">
        <f t="shared" si="15"/>
        <v>2844944.0049403473</v>
      </c>
      <c r="DE17" s="84">
        <f t="shared" si="15"/>
        <v>2983208.283580448</v>
      </c>
      <c r="DF17" s="84">
        <f t="shared" si="15"/>
        <v>3128192.2061624578</v>
      </c>
      <c r="DG17" s="84">
        <f t="shared" si="15"/>
        <v>3280222.3473819532</v>
      </c>
      <c r="DH17" s="84">
        <f t="shared" si="15"/>
        <v>3439641.1534647159</v>
      </c>
      <c r="DI17" s="84">
        <f t="shared" si="15"/>
        <v>3606807.7135231011</v>
      </c>
      <c r="DJ17" s="84">
        <f t="shared" si="15"/>
        <v>3782098.5684003239</v>
      </c>
      <c r="DK17" s="84">
        <f t="shared" si="15"/>
        <v>3965908.5588245797</v>
      </c>
      <c r="DL17" s="84">
        <f t="shared" si="15"/>
        <v>4158651.7147834543</v>
      </c>
      <c r="DM17" s="84">
        <f t="shared" si="15"/>
        <v>4360762.1881219298</v>
      </c>
      <c r="DN17" s="84">
        <f t="shared" si="15"/>
        <v>4572695.2304646559</v>
      </c>
      <c r="DO17" s="84">
        <f t="shared" si="15"/>
        <v>4794928.2186652385</v>
      </c>
      <c r="DP17" s="84">
        <f t="shared" si="15"/>
        <v>5027961.730092369</v>
      </c>
      <c r="DQ17" s="84">
        <f t="shared" si="15"/>
        <v>5272320.6701748576</v>
      </c>
      <c r="DR17" s="84">
        <f t="shared" si="15"/>
        <v>5528555.454745356</v>
      </c>
      <c r="DS17" s="84">
        <f t="shared" si="15"/>
        <v>5797243.2498459797</v>
      </c>
      <c r="DT17" s="84">
        <f t="shared" si="15"/>
        <v>6078989.2717884947</v>
      </c>
      <c r="DU17" s="84">
        <f t="shared" si="15"/>
        <v>6374428.1503974153</v>
      </c>
      <c r="DV17" s="84">
        <f t="shared" si="15"/>
        <v>6684225.3585067298</v>
      </c>
      <c r="DW17" s="84">
        <f t="shared" si="15"/>
        <v>7009078.7109301565</v>
      </c>
      <c r="DX17" s="84">
        <f t="shared" si="15"/>
        <v>7349719.9362813616</v>
      </c>
      <c r="DY17" s="84">
        <f t="shared" si="15"/>
        <v>7706916.3251846358</v>
      </c>
      <c r="DZ17" s="84">
        <f t="shared" si="15"/>
        <v>8081472.4585886085</v>
      </c>
      <c r="EA17" s="84">
        <f t="shared" si="15"/>
        <v>8474232.0200760141</v>
      </c>
      <c r="EB17" s="84">
        <f t="shared" si="15"/>
        <v>8886079.696251709</v>
      </c>
      <c r="EC17" s="84">
        <f t="shared" si="15"/>
        <v>9317943.169489542</v>
      </c>
      <c r="ED17" s="84">
        <f t="shared" si="15"/>
        <v>9770795.2075267341</v>
      </c>
      <c r="EE17" s="84">
        <f t="shared" si="15"/>
        <v>10245655.854612533</v>
      </c>
      <c r="EF17" s="84">
        <f t="shared" si="15"/>
        <v>10743594.729146702</v>
      </c>
      <c r="EG17" s="84">
        <f t="shared" si="15"/>
        <v>11265733.432983231</v>
      </c>
      <c r="EH17" s="84">
        <f t="shared" si="15"/>
        <v>11813248.077826215</v>
      </c>
      <c r="EI17" s="84">
        <f t="shared" si="15"/>
        <v>12387371.934408568</v>
      </c>
      <c r="EJ17" s="84">
        <f t="shared" si="15"/>
        <v>12989398.210420825</v>
      </c>
      <c r="EK17" s="84">
        <f t="shared" si="15"/>
        <v>13620682.963447277</v>
      </c>
      <c r="EL17" s="84">
        <f t="shared" si="15"/>
        <v>14282648.155470815</v>
      </c>
      <c r="EM17" s="84">
        <f t="shared" si="15"/>
        <v>14976784.855826696</v>
      </c>
      <c r="EN17" s="84">
        <f t="shared" si="15"/>
        <v>15704656.599819874</v>
      </c>
      <c r="EO17" s="84">
        <f t="shared" si="15"/>
        <v>16467902.910571121</v>
      </c>
      <c r="EP17" s="84">
        <f t="shared" si="15"/>
        <v>17268242.992024876</v>
      </c>
      <c r="EQ17" s="84">
        <f t="shared" si="15"/>
        <v>18107479.601437286</v>
      </c>
      <c r="ER17" s="84">
        <f t="shared" si="15"/>
        <v>18987503.110067137</v>
      </c>
      <c r="ES17" s="84">
        <f t="shared" si="15"/>
        <v>19910295.761216398</v>
      </c>
      <c r="ET17" s="84">
        <f t="shared" si="15"/>
        <v>20877936.135211516</v>
      </c>
      <c r="EU17" s="84">
        <f t="shared" si="15"/>
        <v>21892603.831382796</v>
      </c>
      <c r="EV17" s="84">
        <f t="shared" si="15"/>
        <v>22956584.377588</v>
      </c>
      <c r="EW17" s="84">
        <f t="shared" si="15"/>
        <v>24072274.378338777</v>
      </c>
      <c r="EX17" s="84">
        <f t="shared" si="15"/>
        <v>25242186.91312604</v>
      </c>
      <c r="EY17" s="84">
        <f t="shared" si="15"/>
        <v>26468957.197103966</v>
      </c>
      <c r="EZ17" s="84">
        <f t="shared" si="15"/>
        <v>27755348.516883217</v>
      </c>
      <c r="FA17" s="84">
        <f t="shared" si="15"/>
        <v>29104258.454803739</v>
      </c>
      <c r="FB17" s="84">
        <f t="shared" si="15"/>
        <v>30518725.415707201</v>
      </c>
      <c r="FC17" s="84">
        <f t="shared" si="15"/>
        <v>32001935.470910572</v>
      </c>
      <c r="FD17" s="84">
        <f t="shared" si="15"/>
        <v>33557229.534796827</v>
      </c>
      <c r="FE17" s="84">
        <f t="shared" si="15"/>
        <v>35188110.890187949</v>
      </c>
      <c r="FF17" s="84">
        <f t="shared" si="15"/>
        <v>36898253.079451084</v>
      </c>
      <c r="FG17" s="84">
        <f t="shared" si="15"/>
        <v>38691508.179112405</v>
      </c>
      <c r="FH17" s="84">
        <f t="shared" si="15"/>
        <v>40571915.476617269</v>
      </c>
      <c r="FI17" s="84">
        <f t="shared" si="15"/>
        <v>42543710.568780869</v>
      </c>
      <c r="FJ17" s="84">
        <f t="shared" si="15"/>
        <v>44611334.90242362</v>
      </c>
      <c r="FK17" s="84">
        <f t="shared" si="15"/>
        <v>46779445.778681405</v>
      </c>
      <c r="FL17" s="84">
        <f t="shared" si="15"/>
        <v>49052926.84352532</v>
      </c>
      <c r="FM17" s="84">
        <f t="shared" ref="FM17:HX17" si="16">FL17*(1+$BJ$2)</f>
        <v>51436899.088120647</v>
      </c>
      <c r="FN17" s="84">
        <f t="shared" si="16"/>
        <v>53936732.383803308</v>
      </c>
      <c r="FO17" s="84">
        <f t="shared" si="16"/>
        <v>56558057.57765615</v>
      </c>
      <c r="FP17" s="84">
        <f t="shared" si="16"/>
        <v>59306779.175930239</v>
      </c>
      <c r="FQ17" s="84">
        <f t="shared" si="16"/>
        <v>62189088.643880449</v>
      </c>
      <c r="FR17" s="84">
        <f t="shared" si="16"/>
        <v>65211478.351973034</v>
      </c>
      <c r="FS17" s="84">
        <f t="shared" si="16"/>
        <v>68380756.199878916</v>
      </c>
      <c r="FT17" s="84">
        <f t="shared" si="16"/>
        <v>71704060.951193035</v>
      </c>
      <c r="FU17" s="84">
        <f t="shared" si="16"/>
        <v>75188878.313421011</v>
      </c>
      <c r="FV17" s="84">
        <f t="shared" si="16"/>
        <v>78843057.799453273</v>
      </c>
      <c r="FW17" s="84">
        <f t="shared" si="16"/>
        <v>82674830.408506706</v>
      </c>
      <c r="FX17" s="84">
        <f t="shared" si="16"/>
        <v>86692827.166360125</v>
      </c>
      <c r="FY17" s="84">
        <f t="shared" si="16"/>
        <v>90906098.56664522</v>
      </c>
      <c r="FZ17" s="84">
        <f t="shared" si="16"/>
        <v>95324134.956984177</v>
      </c>
      <c r="GA17" s="84">
        <f t="shared" si="16"/>
        <v>99956887.915893599</v>
      </c>
      <c r="GB17" s="84">
        <f t="shared" si="16"/>
        <v>104814792.66860603</v>
      </c>
      <c r="GC17" s="84">
        <f t="shared" si="16"/>
        <v>109908791.59230028</v>
      </c>
      <c r="GD17" s="84">
        <f t="shared" si="16"/>
        <v>115250358.86368607</v>
      </c>
      <c r="GE17" s="84">
        <f t="shared" si="16"/>
        <v>120851526.30446121</v>
      </c>
      <c r="GF17" s="84">
        <f t="shared" si="16"/>
        <v>126724910.48285802</v>
      </c>
      <c r="GG17" s="84">
        <f t="shared" si="16"/>
        <v>132883741.13232492</v>
      </c>
      <c r="GH17" s="84">
        <f t="shared" si="16"/>
        <v>139341890.9513559</v>
      </c>
      <c r="GI17" s="84">
        <f t="shared" si="16"/>
        <v>146113906.8515918</v>
      </c>
      <c r="GJ17" s="84">
        <f t="shared" si="16"/>
        <v>153215042.72457916</v>
      </c>
      <c r="GK17" s="84">
        <f t="shared" si="16"/>
        <v>160661293.80099371</v>
      </c>
      <c r="GL17" s="84">
        <f t="shared" si="16"/>
        <v>168469432.67972201</v>
      </c>
      <c r="GM17" s="84">
        <f t="shared" si="16"/>
        <v>176657047.1079565</v>
      </c>
      <c r="GN17" s="84">
        <f t="shared" si="16"/>
        <v>185242579.59740317</v>
      </c>
      <c r="GO17" s="84">
        <f t="shared" si="16"/>
        <v>194245368.96583697</v>
      </c>
      <c r="GP17" s="84">
        <f t="shared" si="16"/>
        <v>203685693.89757663</v>
      </c>
      <c r="GQ17" s="84">
        <f t="shared" si="16"/>
        <v>213584818.62099886</v>
      </c>
      <c r="GR17" s="84">
        <f t="shared" si="16"/>
        <v>223965040.8059794</v>
      </c>
      <c r="GS17" s="84">
        <f t="shared" si="16"/>
        <v>234849741.78915</v>
      </c>
      <c r="GT17" s="84">
        <f t="shared" si="16"/>
        <v>246263439.24010268</v>
      </c>
      <c r="GU17" s="84">
        <f t="shared" si="16"/>
        <v>258231842.38717166</v>
      </c>
      <c r="GV17" s="84">
        <f t="shared" si="16"/>
        <v>270781909.92718822</v>
      </c>
      <c r="GW17" s="84">
        <f t="shared" si="16"/>
        <v>283941910.74964958</v>
      </c>
      <c r="GX17" s="84">
        <f t="shared" si="16"/>
        <v>297741487.61208254</v>
      </c>
      <c r="GY17" s="84">
        <f t="shared" si="16"/>
        <v>312211723.91002977</v>
      </c>
      <c r="GZ17" s="84">
        <f t="shared" si="16"/>
        <v>327385213.69205719</v>
      </c>
      <c r="HA17" s="84">
        <f t="shared" si="16"/>
        <v>343296135.07749116</v>
      </c>
      <c r="HB17" s="84">
        <f t="shared" si="16"/>
        <v>359980327.24225724</v>
      </c>
      <c r="HC17" s="84">
        <f t="shared" si="16"/>
        <v>377475371.14623094</v>
      </c>
      <c r="HD17" s="84">
        <f t="shared" si="16"/>
        <v>395820674.18393773</v>
      </c>
      <c r="HE17" s="84">
        <f t="shared" si="16"/>
        <v>415057558.9492771</v>
      </c>
      <c r="HF17" s="84">
        <f t="shared" si="16"/>
        <v>435229356.31421196</v>
      </c>
      <c r="HG17" s="84">
        <f t="shared" si="16"/>
        <v>456381503.03108263</v>
      </c>
      <c r="HH17" s="84">
        <f t="shared" si="16"/>
        <v>478561644.07839322</v>
      </c>
      <c r="HI17" s="84">
        <f t="shared" si="16"/>
        <v>501819739.9806031</v>
      </c>
      <c r="HJ17" s="84">
        <f t="shared" si="16"/>
        <v>526208179.34366041</v>
      </c>
      <c r="HK17" s="84">
        <f t="shared" si="16"/>
        <v>551781896.85976231</v>
      </c>
      <c r="HL17" s="84">
        <f t="shared" si="16"/>
        <v>578598497.0471468</v>
      </c>
      <c r="HM17" s="84">
        <f t="shared" si="16"/>
        <v>606718384.00363815</v>
      </c>
      <c r="HN17" s="84">
        <f t="shared" si="16"/>
        <v>636204897.4662149</v>
      </c>
      <c r="HO17" s="84">
        <f t="shared" si="16"/>
        <v>667124455.48307288</v>
      </c>
      <c r="HP17" s="84">
        <f t="shared" si="16"/>
        <v>699546704.0195502</v>
      </c>
      <c r="HQ17" s="84">
        <f t="shared" si="16"/>
        <v>733544673.83490038</v>
      </c>
      <c r="HR17" s="84">
        <f t="shared" si="16"/>
        <v>769194944.98327649</v>
      </c>
      <c r="HS17" s="84">
        <f t="shared" si="16"/>
        <v>806577819.30946374</v>
      </c>
      <c r="HT17" s="84">
        <f t="shared" si="16"/>
        <v>845777501.32790363</v>
      </c>
      <c r="HU17" s="84">
        <f t="shared" si="16"/>
        <v>886882287.89243972</v>
      </c>
      <c r="HV17" s="84">
        <f t="shared" si="16"/>
        <v>929984767.08401227</v>
      </c>
      <c r="HW17" s="84">
        <f t="shared" si="16"/>
        <v>975182026.76429522</v>
      </c>
      <c r="HX17" s="84">
        <f t="shared" si="16"/>
        <v>1022575873.2650399</v>
      </c>
      <c r="HY17" s="84">
        <f t="shared" ref="HY17:IT17" si="17">HX17*(1+$BJ$2)</f>
        <v>1072273060.7057208</v>
      </c>
      <c r="HZ17" s="84">
        <f t="shared" si="17"/>
        <v>1124385531.4560187</v>
      </c>
      <c r="IA17" s="84">
        <f t="shared" si="17"/>
        <v>1179030668.2847812</v>
      </c>
      <c r="IB17" s="84">
        <f t="shared" si="17"/>
        <v>1236331558.7634215</v>
      </c>
      <c r="IC17" s="84">
        <f t="shared" si="17"/>
        <v>1296417272.5193238</v>
      </c>
      <c r="ID17" s="84">
        <f t="shared" si="17"/>
        <v>1359423151.963763</v>
      </c>
      <c r="IE17" s="84">
        <f t="shared" si="17"/>
        <v>1425491117.1492019</v>
      </c>
      <c r="IF17" s="84">
        <f t="shared" si="17"/>
        <v>1494769985.4426529</v>
      </c>
      <c r="IG17" s="84">
        <f t="shared" si="17"/>
        <v>1567415806.7351658</v>
      </c>
      <c r="IH17" s="84">
        <f t="shared" si="17"/>
        <v>1643592214.9424949</v>
      </c>
      <c r="II17" s="84">
        <f t="shared" si="17"/>
        <v>1723470796.5887001</v>
      </c>
      <c r="IJ17" s="84">
        <f t="shared" si="17"/>
        <v>1807231477.3029108</v>
      </c>
      <c r="IK17" s="84">
        <f t="shared" si="17"/>
        <v>1895062927.0998323</v>
      </c>
      <c r="IL17" s="84">
        <f t="shared" si="17"/>
        <v>1987162985.356884</v>
      </c>
      <c r="IM17" s="84">
        <f t="shared" si="17"/>
        <v>2083739106.4452286</v>
      </c>
      <c r="IN17" s="84">
        <f t="shared" si="17"/>
        <v>2185008827.0184665</v>
      </c>
      <c r="IO17" s="84">
        <f t="shared" si="17"/>
        <v>2291200256.0115638</v>
      </c>
      <c r="IP17" s="84">
        <f t="shared" si="17"/>
        <v>2402552588.4537258</v>
      </c>
      <c r="IQ17" s="84">
        <f t="shared" si="17"/>
        <v>2519316644.2525768</v>
      </c>
      <c r="IR17" s="84">
        <f t="shared" si="17"/>
        <v>2641755433.1632519</v>
      </c>
      <c r="IS17" s="84">
        <f t="shared" si="17"/>
        <v>2770144747.2149858</v>
      </c>
      <c r="IT17" s="84">
        <f t="shared" si="17"/>
        <v>2904773781.9296341</v>
      </c>
      <c r="IU17" s="84"/>
      <c r="IV17" s="84"/>
      <c r="IW17" s="84"/>
      <c r="IX17" s="84"/>
      <c r="IY17" s="84"/>
      <c r="IZ17" s="84"/>
      <c r="JA17" s="84"/>
    </row>
    <row r="18" spans="1:261" ht="17.399999999999999" customHeight="1">
      <c r="A18" s="82"/>
      <c r="B18" s="82"/>
      <c r="C18" s="82"/>
      <c r="D18" s="84"/>
      <c r="E18" s="84"/>
      <c r="F18" s="82"/>
      <c r="G18" s="82"/>
      <c r="H18" s="82"/>
      <c r="I18" s="82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</row>
    <row r="19" spans="1:261">
      <c r="A19" s="82"/>
      <c r="B19" s="82"/>
      <c r="C19" s="82"/>
      <c r="D19" s="84" t="s">
        <v>152</v>
      </c>
      <c r="E19" s="82"/>
      <c r="F19" s="82"/>
      <c r="G19" s="82"/>
    </row>
    <row r="20" spans="1:261">
      <c r="A20" s="11" t="str">
        <f>F4</f>
        <v>With rainwater harvesting only</v>
      </c>
      <c r="B20" s="82"/>
      <c r="C20" s="82" t="s">
        <v>247</v>
      </c>
      <c r="D20" s="71">
        <v>0</v>
      </c>
      <c r="E20" s="82">
        <v>1</v>
      </c>
      <c r="F20" s="71">
        <v>2</v>
      </c>
      <c r="G20" s="82">
        <v>3</v>
      </c>
      <c r="H20" s="71">
        <v>4</v>
      </c>
      <c r="I20" s="82">
        <v>5</v>
      </c>
      <c r="J20" s="71">
        <v>6</v>
      </c>
      <c r="K20" s="82">
        <v>7</v>
      </c>
      <c r="L20" s="71">
        <v>8</v>
      </c>
      <c r="M20" s="82">
        <v>9</v>
      </c>
      <c r="N20" s="71">
        <v>10</v>
      </c>
      <c r="O20" s="82">
        <v>11</v>
      </c>
      <c r="P20" s="71">
        <v>12</v>
      </c>
      <c r="Q20" s="82">
        <v>13</v>
      </c>
      <c r="R20" s="71">
        <v>14</v>
      </c>
      <c r="S20" s="82">
        <v>15</v>
      </c>
      <c r="T20" s="71">
        <v>16</v>
      </c>
      <c r="U20" s="82">
        <v>17</v>
      </c>
      <c r="V20" s="71">
        <v>18</v>
      </c>
      <c r="W20" s="82">
        <v>19</v>
      </c>
      <c r="X20" s="71">
        <v>20</v>
      </c>
      <c r="Y20" s="82">
        <v>21</v>
      </c>
      <c r="Z20" s="71">
        <v>22</v>
      </c>
      <c r="AA20" s="82">
        <v>23</v>
      </c>
      <c r="AB20" s="71">
        <v>24</v>
      </c>
      <c r="AC20" s="82">
        <v>25</v>
      </c>
      <c r="AD20" s="71">
        <v>26</v>
      </c>
      <c r="AE20" s="82">
        <v>27</v>
      </c>
      <c r="AF20" s="71">
        <v>28</v>
      </c>
      <c r="AG20" s="82">
        <v>29</v>
      </c>
      <c r="AH20" s="71">
        <v>30</v>
      </c>
      <c r="AI20" s="82">
        <v>31</v>
      </c>
      <c r="AJ20" s="71">
        <v>32</v>
      </c>
      <c r="AK20" s="82">
        <v>33</v>
      </c>
      <c r="AL20" s="71">
        <v>34</v>
      </c>
      <c r="AM20" s="82">
        <v>35</v>
      </c>
      <c r="AN20" s="71">
        <v>36</v>
      </c>
      <c r="AO20" s="82">
        <v>37</v>
      </c>
      <c r="AP20" s="71">
        <v>38</v>
      </c>
      <c r="AQ20" s="82">
        <v>39</v>
      </c>
      <c r="AR20" s="71">
        <v>40</v>
      </c>
      <c r="AS20" s="82">
        <v>41</v>
      </c>
      <c r="AT20" s="71">
        <v>42</v>
      </c>
      <c r="AU20" s="82">
        <v>43</v>
      </c>
      <c r="AV20" s="71">
        <v>44</v>
      </c>
      <c r="AW20" s="82">
        <v>45</v>
      </c>
      <c r="AX20" s="71">
        <v>46</v>
      </c>
      <c r="AY20" s="82">
        <v>47</v>
      </c>
      <c r="AZ20" s="71">
        <v>48</v>
      </c>
      <c r="BA20" s="82">
        <v>49</v>
      </c>
      <c r="BB20" s="71">
        <v>50</v>
      </c>
      <c r="BC20" s="82">
        <v>51</v>
      </c>
      <c r="BD20" s="71">
        <v>52</v>
      </c>
      <c r="BE20" s="82">
        <v>53</v>
      </c>
      <c r="BF20" s="71">
        <v>54</v>
      </c>
      <c r="BG20" s="82">
        <v>55</v>
      </c>
      <c r="BH20" s="71">
        <v>56</v>
      </c>
      <c r="BI20" s="82">
        <v>57</v>
      </c>
      <c r="BJ20" s="71">
        <v>58</v>
      </c>
      <c r="BK20" s="82">
        <v>59</v>
      </c>
      <c r="BL20" s="71">
        <v>60</v>
      </c>
      <c r="BM20" s="82">
        <v>61</v>
      </c>
      <c r="BN20" s="71">
        <v>62</v>
      </c>
      <c r="BO20" s="82">
        <v>63</v>
      </c>
      <c r="BP20" s="71">
        <v>64</v>
      </c>
      <c r="BQ20" s="82">
        <v>65</v>
      </c>
      <c r="BR20" s="71">
        <v>66</v>
      </c>
      <c r="BS20" s="82">
        <v>67</v>
      </c>
      <c r="BT20" s="71">
        <v>68</v>
      </c>
      <c r="BU20" s="82">
        <v>69</v>
      </c>
      <c r="BV20" s="71">
        <v>70</v>
      </c>
      <c r="BW20" s="82">
        <v>71</v>
      </c>
      <c r="BX20" s="71">
        <v>72</v>
      </c>
      <c r="BY20" s="82">
        <v>73</v>
      </c>
      <c r="BZ20" s="71">
        <v>74</v>
      </c>
      <c r="CA20" s="82">
        <v>75</v>
      </c>
      <c r="CB20" s="71">
        <v>76</v>
      </c>
      <c r="CC20" s="82">
        <v>77</v>
      </c>
      <c r="CD20" s="71">
        <v>78</v>
      </c>
      <c r="CE20" s="82">
        <v>79</v>
      </c>
      <c r="CF20" s="71">
        <v>80</v>
      </c>
      <c r="CG20" s="82">
        <v>81</v>
      </c>
      <c r="CH20" s="71">
        <v>82</v>
      </c>
      <c r="CI20" s="82">
        <v>83</v>
      </c>
      <c r="CJ20" s="71">
        <v>84</v>
      </c>
      <c r="CK20" s="82">
        <v>85</v>
      </c>
      <c r="CL20" s="71">
        <v>86</v>
      </c>
      <c r="CM20" s="82">
        <v>87</v>
      </c>
      <c r="CN20" s="71">
        <v>88</v>
      </c>
      <c r="CO20" s="82">
        <v>89</v>
      </c>
      <c r="CP20" s="71">
        <v>90</v>
      </c>
      <c r="CQ20" s="82">
        <v>91</v>
      </c>
      <c r="CR20" s="71">
        <v>92</v>
      </c>
      <c r="CS20" s="82">
        <v>93</v>
      </c>
      <c r="CT20" s="71">
        <v>94</v>
      </c>
      <c r="CU20" s="82">
        <v>95</v>
      </c>
      <c r="CV20" s="71">
        <v>96</v>
      </c>
      <c r="CW20" s="82">
        <v>97</v>
      </c>
      <c r="CX20" s="71">
        <v>98</v>
      </c>
      <c r="CY20" s="82">
        <v>99</v>
      </c>
      <c r="CZ20" s="71">
        <v>100</v>
      </c>
      <c r="DA20" s="82">
        <v>101</v>
      </c>
      <c r="DB20" s="71">
        <v>102</v>
      </c>
      <c r="DC20" s="82">
        <v>103</v>
      </c>
      <c r="DD20" s="71">
        <v>104</v>
      </c>
      <c r="DE20" s="82">
        <v>105</v>
      </c>
      <c r="DF20" s="71">
        <v>106</v>
      </c>
      <c r="DG20" s="82">
        <v>107</v>
      </c>
      <c r="DH20" s="71">
        <v>108</v>
      </c>
      <c r="DI20" s="82">
        <v>109</v>
      </c>
      <c r="DJ20" s="71">
        <v>110</v>
      </c>
      <c r="DK20" s="82">
        <v>111</v>
      </c>
      <c r="DL20" s="71">
        <v>112</v>
      </c>
      <c r="DM20" s="82">
        <v>113</v>
      </c>
      <c r="DN20" s="71">
        <v>114</v>
      </c>
      <c r="DO20" s="82">
        <v>115</v>
      </c>
      <c r="DP20" s="71">
        <v>116</v>
      </c>
      <c r="DQ20" s="82">
        <v>117</v>
      </c>
      <c r="DR20" s="71">
        <v>118</v>
      </c>
      <c r="DS20" s="82">
        <v>119</v>
      </c>
      <c r="DT20" s="71">
        <v>120</v>
      </c>
      <c r="DU20" s="82">
        <v>121</v>
      </c>
      <c r="DV20" s="71">
        <v>122</v>
      </c>
      <c r="DW20" s="82">
        <v>123</v>
      </c>
      <c r="DX20" s="71">
        <v>124</v>
      </c>
      <c r="DY20" s="82">
        <v>125</v>
      </c>
      <c r="DZ20" s="71">
        <v>126</v>
      </c>
      <c r="EA20" s="82">
        <v>127</v>
      </c>
      <c r="EB20" s="71">
        <v>128</v>
      </c>
      <c r="EC20" s="82">
        <v>129</v>
      </c>
      <c r="ED20" s="71">
        <v>130</v>
      </c>
      <c r="EE20" s="82">
        <v>131</v>
      </c>
      <c r="EF20" s="71">
        <v>132</v>
      </c>
      <c r="EG20" s="82">
        <v>133</v>
      </c>
      <c r="EH20" s="71">
        <v>134</v>
      </c>
      <c r="EI20" s="82">
        <v>135</v>
      </c>
      <c r="EJ20" s="71">
        <v>136</v>
      </c>
      <c r="EK20" s="82">
        <v>137</v>
      </c>
      <c r="EL20" s="71">
        <v>138</v>
      </c>
      <c r="EM20" s="82">
        <v>139</v>
      </c>
      <c r="EN20" s="71">
        <v>140</v>
      </c>
      <c r="EO20" s="82">
        <v>141</v>
      </c>
      <c r="EP20" s="71">
        <v>142</v>
      </c>
      <c r="EQ20" s="82">
        <v>143</v>
      </c>
      <c r="ER20" s="71">
        <v>144</v>
      </c>
      <c r="ES20" s="82">
        <v>145</v>
      </c>
      <c r="ET20" s="71">
        <v>146</v>
      </c>
      <c r="EU20" s="82">
        <v>147</v>
      </c>
      <c r="EV20" s="71">
        <v>148</v>
      </c>
      <c r="EW20" s="82">
        <v>149</v>
      </c>
      <c r="EX20" s="71">
        <v>150</v>
      </c>
      <c r="EY20" s="82">
        <v>151</v>
      </c>
      <c r="EZ20" s="71">
        <v>152</v>
      </c>
      <c r="FA20" s="82">
        <v>153</v>
      </c>
      <c r="FB20" s="71">
        <v>154</v>
      </c>
      <c r="FC20" s="82">
        <v>155</v>
      </c>
      <c r="FD20" s="71">
        <v>156</v>
      </c>
      <c r="FE20" s="82">
        <v>157</v>
      </c>
      <c r="FF20" s="71">
        <v>158</v>
      </c>
      <c r="FG20" s="82">
        <v>159</v>
      </c>
      <c r="FH20" s="71">
        <v>160</v>
      </c>
      <c r="FI20" s="82">
        <v>161</v>
      </c>
      <c r="FJ20" s="71">
        <v>162</v>
      </c>
      <c r="FK20" s="82">
        <v>163</v>
      </c>
      <c r="FL20" s="71">
        <v>164</v>
      </c>
      <c r="FM20" s="82">
        <v>165</v>
      </c>
      <c r="FN20" s="71">
        <v>166</v>
      </c>
      <c r="FO20" s="82">
        <v>167</v>
      </c>
      <c r="FP20" s="71">
        <v>168</v>
      </c>
      <c r="FQ20" s="82">
        <v>169</v>
      </c>
      <c r="FR20" s="71">
        <v>170</v>
      </c>
      <c r="FS20" s="82">
        <v>171</v>
      </c>
      <c r="FT20" s="71">
        <v>172</v>
      </c>
      <c r="FU20" s="82">
        <v>173</v>
      </c>
      <c r="FV20" s="71">
        <v>174</v>
      </c>
      <c r="FW20" s="82">
        <v>175</v>
      </c>
      <c r="FX20" s="71">
        <v>176</v>
      </c>
      <c r="FY20" s="82">
        <v>177</v>
      </c>
      <c r="FZ20" s="71">
        <v>178</v>
      </c>
      <c r="GA20" s="82">
        <v>179</v>
      </c>
      <c r="GB20" s="71">
        <v>180</v>
      </c>
      <c r="GC20" s="82">
        <v>181</v>
      </c>
      <c r="GD20" s="71">
        <v>182</v>
      </c>
      <c r="GE20" s="82">
        <v>183</v>
      </c>
      <c r="GF20" s="71">
        <v>184</v>
      </c>
      <c r="GG20" s="82">
        <v>185</v>
      </c>
      <c r="GH20" s="71">
        <v>186</v>
      </c>
      <c r="GI20" s="82">
        <v>187</v>
      </c>
      <c r="GJ20" s="71">
        <v>188</v>
      </c>
      <c r="GK20" s="82">
        <v>189</v>
      </c>
      <c r="GL20" s="71">
        <v>190</v>
      </c>
      <c r="GM20" s="82">
        <v>191</v>
      </c>
      <c r="GN20" s="71">
        <v>192</v>
      </c>
      <c r="GO20" s="82">
        <v>193</v>
      </c>
      <c r="GP20" s="71">
        <v>194</v>
      </c>
      <c r="GQ20" s="82">
        <v>195</v>
      </c>
      <c r="GR20" s="71">
        <v>196</v>
      </c>
      <c r="GS20" s="82">
        <v>197</v>
      </c>
      <c r="GT20" s="71">
        <v>198</v>
      </c>
      <c r="GU20" s="82">
        <v>199</v>
      </c>
      <c r="GV20" s="71">
        <v>200</v>
      </c>
      <c r="GW20" s="82">
        <v>201</v>
      </c>
      <c r="GX20" s="71">
        <v>202</v>
      </c>
      <c r="GY20" s="82">
        <v>203</v>
      </c>
      <c r="GZ20" s="71">
        <v>204</v>
      </c>
      <c r="HA20" s="82">
        <v>205</v>
      </c>
      <c r="HB20" s="71">
        <v>206</v>
      </c>
      <c r="HC20" s="82">
        <v>207</v>
      </c>
      <c r="HD20" s="71">
        <v>208</v>
      </c>
      <c r="HE20" s="82">
        <v>209</v>
      </c>
      <c r="HF20" s="71">
        <v>210</v>
      </c>
      <c r="HG20" s="82">
        <v>211</v>
      </c>
      <c r="HH20" s="71">
        <v>212</v>
      </c>
      <c r="HI20" s="82">
        <v>213</v>
      </c>
      <c r="HJ20" s="71">
        <v>214</v>
      </c>
      <c r="HK20" s="82">
        <v>215</v>
      </c>
      <c r="HL20" s="71">
        <v>216</v>
      </c>
      <c r="HM20" s="82">
        <v>217</v>
      </c>
      <c r="HN20" s="71">
        <v>218</v>
      </c>
      <c r="HO20" s="82">
        <v>219</v>
      </c>
      <c r="HP20" s="71">
        <v>220</v>
      </c>
      <c r="HQ20" s="82">
        <v>221</v>
      </c>
      <c r="HR20" s="71">
        <v>222</v>
      </c>
      <c r="HS20" s="82">
        <v>223</v>
      </c>
      <c r="HT20" s="71">
        <v>224</v>
      </c>
      <c r="HU20" s="82">
        <v>225</v>
      </c>
      <c r="HV20" s="71">
        <v>226</v>
      </c>
      <c r="HW20" s="82">
        <v>227</v>
      </c>
      <c r="HX20" s="71">
        <v>228</v>
      </c>
      <c r="HY20" s="82">
        <v>229</v>
      </c>
      <c r="HZ20" s="71">
        <v>230</v>
      </c>
      <c r="IA20" s="82">
        <v>231</v>
      </c>
      <c r="IB20" s="71">
        <v>232</v>
      </c>
      <c r="IC20" s="82">
        <v>233</v>
      </c>
      <c r="ID20" s="71">
        <v>234</v>
      </c>
      <c r="IE20" s="82">
        <v>235</v>
      </c>
      <c r="IF20" s="71">
        <v>236</v>
      </c>
      <c r="IG20" s="82">
        <v>237</v>
      </c>
      <c r="IH20" s="71">
        <v>238</v>
      </c>
      <c r="II20" s="82">
        <v>239</v>
      </c>
      <c r="IJ20" s="71">
        <v>240</v>
      </c>
      <c r="IK20" s="82">
        <v>241</v>
      </c>
      <c r="IL20" s="71">
        <v>242</v>
      </c>
      <c r="IM20" s="82">
        <v>243</v>
      </c>
      <c r="IN20" s="71">
        <v>244</v>
      </c>
      <c r="IO20" s="82">
        <v>245</v>
      </c>
      <c r="IP20" s="71">
        <v>246</v>
      </c>
      <c r="IQ20" s="82">
        <v>247</v>
      </c>
      <c r="IR20" s="71">
        <v>248</v>
      </c>
      <c r="IS20" s="82">
        <v>249</v>
      </c>
      <c r="IT20" s="71">
        <v>250</v>
      </c>
      <c r="IU20" s="82"/>
      <c r="IV20" s="71"/>
      <c r="IW20" s="82"/>
      <c r="IX20" s="71"/>
      <c r="IY20" s="82"/>
      <c r="IZ20" s="71"/>
      <c r="JA20" s="82"/>
    </row>
    <row r="21" spans="1:261">
      <c r="A21" s="82" t="s">
        <v>246</v>
      </c>
      <c r="B21" s="82" t="s">
        <v>151</v>
      </c>
      <c r="C21" s="84">
        <f>NPV($BL$2,E21:IT21)+D21</f>
        <v>-851100.92570094345</v>
      </c>
      <c r="D21" s="85">
        <f>-G11</f>
        <v>-1034090.9090909092</v>
      </c>
      <c r="E21" s="85">
        <f>-G12</f>
        <v>3064.3348399091046</v>
      </c>
      <c r="F21" s="84">
        <f t="shared" ref="F21:AK21" si="18">E21*(1+$BJ$2)</f>
        <v>3213.2615131286871</v>
      </c>
      <c r="G21" s="84">
        <f t="shared" si="18"/>
        <v>3369.4260226667411</v>
      </c>
      <c r="H21" s="84">
        <f t="shared" si="18"/>
        <v>3533.1801273683445</v>
      </c>
      <c r="I21" s="84">
        <f t="shared" si="18"/>
        <v>3704.8926815584459</v>
      </c>
      <c r="J21" s="84">
        <f t="shared" si="18"/>
        <v>3884.9504658821861</v>
      </c>
      <c r="K21" s="84">
        <f t="shared" si="18"/>
        <v>4073.75905852406</v>
      </c>
      <c r="L21" s="84">
        <f t="shared" si="18"/>
        <v>4271.7437487683292</v>
      </c>
      <c r="M21" s="84">
        <f t="shared" si="18"/>
        <v>4479.3504949584694</v>
      </c>
      <c r="N21" s="84">
        <f t="shared" si="18"/>
        <v>4697.0469290134506</v>
      </c>
      <c r="O21" s="84">
        <f t="shared" si="18"/>
        <v>4925.3234097635041</v>
      </c>
      <c r="P21" s="84">
        <f t="shared" si="18"/>
        <v>5164.6941274780102</v>
      </c>
      <c r="Q21" s="84">
        <f t="shared" si="18"/>
        <v>5415.6982620734416</v>
      </c>
      <c r="R21" s="84">
        <f t="shared" si="18"/>
        <v>5678.9011976102111</v>
      </c>
      <c r="S21" s="84">
        <f t="shared" si="18"/>
        <v>5954.8957958140672</v>
      </c>
      <c r="T21" s="84">
        <f t="shared" si="18"/>
        <v>6244.3037314906305</v>
      </c>
      <c r="U21" s="84">
        <f t="shared" si="18"/>
        <v>6547.7768928410751</v>
      </c>
      <c r="V21" s="84">
        <f t="shared" si="18"/>
        <v>6865.9988498331513</v>
      </c>
      <c r="W21" s="84">
        <f t="shared" si="18"/>
        <v>7199.6863939350424</v>
      </c>
      <c r="X21" s="84">
        <f t="shared" si="18"/>
        <v>7549.5911526802856</v>
      </c>
      <c r="Y21" s="84">
        <f t="shared" si="18"/>
        <v>7916.5012827005476</v>
      </c>
      <c r="Z21" s="84">
        <f t="shared" si="18"/>
        <v>8301.2432450397937</v>
      </c>
      <c r="AA21" s="84">
        <f t="shared" si="18"/>
        <v>8704.6836667487278</v>
      </c>
      <c r="AB21" s="84">
        <f t="shared" si="18"/>
        <v>9127.7312929527161</v>
      </c>
      <c r="AC21" s="84">
        <f t="shared" si="18"/>
        <v>9571.3390337902183</v>
      </c>
      <c r="AD21" s="84">
        <f t="shared" si="18"/>
        <v>10036.506110832423</v>
      </c>
      <c r="AE21" s="84">
        <f t="shared" si="18"/>
        <v>10524.280307818877</v>
      </c>
      <c r="AF21" s="84">
        <f t="shared" si="18"/>
        <v>11035.760330778874</v>
      </c>
      <c r="AG21" s="84">
        <f t="shared" si="18"/>
        <v>11572.098282854728</v>
      </c>
      <c r="AH21" s="84">
        <f t="shared" si="18"/>
        <v>12134.502259401466</v>
      </c>
      <c r="AI21" s="84">
        <f t="shared" si="18"/>
        <v>12724.239069208377</v>
      </c>
      <c r="AJ21" s="84">
        <f t="shared" si="18"/>
        <v>13342.637087971903</v>
      </c>
      <c r="AK21" s="84">
        <f t="shared" si="18"/>
        <v>13991.089250447338</v>
      </c>
      <c r="AL21" s="84">
        <f t="shared" ref="AL21:BQ21" si="19">AK21*(1+$BJ$2)</f>
        <v>14671.056188019078</v>
      </c>
      <c r="AM21" s="84">
        <f t="shared" si="19"/>
        <v>15384.069518756805</v>
      </c>
      <c r="AN21" s="84">
        <f t="shared" si="19"/>
        <v>16131.735297368386</v>
      </c>
      <c r="AO21" s="84">
        <f t="shared" si="19"/>
        <v>16915.737632820488</v>
      </c>
      <c r="AP21" s="84">
        <f t="shared" si="19"/>
        <v>17737.842481775562</v>
      </c>
      <c r="AQ21" s="84">
        <f t="shared" si="19"/>
        <v>18599.901626389856</v>
      </c>
      <c r="AR21" s="84">
        <f t="shared" si="19"/>
        <v>19503.856845432401</v>
      </c>
      <c r="AS21" s="84">
        <f t="shared" si="19"/>
        <v>20451.744288120415</v>
      </c>
      <c r="AT21" s="84">
        <f t="shared" si="19"/>
        <v>21445.699060523068</v>
      </c>
      <c r="AU21" s="84">
        <f t="shared" si="19"/>
        <v>22487.960034864489</v>
      </c>
      <c r="AV21" s="84">
        <f t="shared" si="19"/>
        <v>23580.874892558903</v>
      </c>
      <c r="AW21" s="84">
        <f t="shared" si="19"/>
        <v>24726.905412337266</v>
      </c>
      <c r="AX21" s="84">
        <f t="shared" si="19"/>
        <v>25928.633015376858</v>
      </c>
      <c r="AY21" s="84">
        <f t="shared" si="19"/>
        <v>27188.764579924173</v>
      </c>
      <c r="AZ21" s="84">
        <f t="shared" si="19"/>
        <v>28510.138538508487</v>
      </c>
      <c r="BA21" s="84">
        <f t="shared" si="19"/>
        <v>29895.731271479999</v>
      </c>
      <c r="BB21" s="84">
        <f t="shared" si="19"/>
        <v>31348.663811273927</v>
      </c>
      <c r="BC21" s="84">
        <f t="shared" si="19"/>
        <v>32872.20887250184</v>
      </c>
      <c r="BD21" s="84">
        <f t="shared" si="19"/>
        <v>34469.798223705431</v>
      </c>
      <c r="BE21" s="84">
        <f t="shared" si="19"/>
        <v>36145.030417377515</v>
      </c>
      <c r="BF21" s="84">
        <f t="shared" si="19"/>
        <v>37901.678895662058</v>
      </c>
      <c r="BG21" s="84">
        <f t="shared" si="19"/>
        <v>39743.700489991235</v>
      </c>
      <c r="BH21" s="84">
        <f t="shared" si="19"/>
        <v>41675.244333804811</v>
      </c>
      <c r="BI21" s="84">
        <f t="shared" si="19"/>
        <v>43700.661208427722</v>
      </c>
      <c r="BJ21" s="84">
        <f t="shared" si="19"/>
        <v>45824.513343157305</v>
      </c>
      <c r="BK21" s="84">
        <f t="shared" si="19"/>
        <v>48051.584691634751</v>
      </c>
      <c r="BL21" s="84">
        <f t="shared" si="19"/>
        <v>50386.891707648196</v>
      </c>
      <c r="BM21" s="84">
        <f t="shared" si="19"/>
        <v>52835.694644639894</v>
      </c>
      <c r="BN21" s="84">
        <f t="shared" si="19"/>
        <v>55403.50940436939</v>
      </c>
      <c r="BO21" s="84">
        <f t="shared" si="19"/>
        <v>58096.11996142174</v>
      </c>
      <c r="BP21" s="84">
        <f t="shared" si="19"/>
        <v>60919.591391546834</v>
      </c>
      <c r="BQ21" s="84">
        <f t="shared" si="19"/>
        <v>63880.283533176007</v>
      </c>
      <c r="BR21" s="84">
        <f t="shared" ref="BR21:CZ21" si="20">BQ21*(1+$BJ$2)</f>
        <v>66984.86531288836</v>
      </c>
      <c r="BS21" s="84">
        <f t="shared" si="20"/>
        <v>70240.329767094736</v>
      </c>
      <c r="BT21" s="84">
        <f t="shared" si="20"/>
        <v>73654.009793775534</v>
      </c>
      <c r="BU21" s="84">
        <f t="shared" si="20"/>
        <v>77233.594669753031</v>
      </c>
      <c r="BV21" s="84">
        <f t="shared" si="20"/>
        <v>80987.147370703024</v>
      </c>
      <c r="BW21" s="84">
        <f t="shared" si="20"/>
        <v>84923.12273291919</v>
      </c>
      <c r="BX21" s="84">
        <f t="shared" si="20"/>
        <v>89050.386497739062</v>
      </c>
      <c r="BY21" s="84">
        <f t="shared" si="20"/>
        <v>93378.235281529182</v>
      </c>
      <c r="BZ21" s="84">
        <f t="shared" si="20"/>
        <v>97916.417516211499</v>
      </c>
      <c r="CA21" s="84">
        <f t="shared" si="20"/>
        <v>102675.15540749938</v>
      </c>
      <c r="CB21" s="84">
        <f t="shared" si="20"/>
        <v>107665.16796030385</v>
      </c>
      <c r="CC21" s="84">
        <f t="shared" si="20"/>
        <v>112897.69512317462</v>
      </c>
      <c r="CD21" s="84">
        <f t="shared" si="20"/>
        <v>118384.52310616091</v>
      </c>
      <c r="CE21" s="84">
        <f t="shared" si="20"/>
        <v>124138.01092912033</v>
      </c>
      <c r="CF21" s="84">
        <f t="shared" si="20"/>
        <v>130171.11826027557</v>
      </c>
      <c r="CG21" s="84">
        <f t="shared" si="20"/>
        <v>136497.43460772495</v>
      </c>
      <c r="CH21" s="84">
        <f t="shared" si="20"/>
        <v>143131.20992966037</v>
      </c>
      <c r="CI21" s="84">
        <f t="shared" si="20"/>
        <v>150087.38673224187</v>
      </c>
      <c r="CJ21" s="84">
        <f t="shared" si="20"/>
        <v>157381.63372742882</v>
      </c>
      <c r="CK21" s="84">
        <f t="shared" si="20"/>
        <v>165030.38112658187</v>
      </c>
      <c r="CL21" s="84">
        <f t="shared" si="20"/>
        <v>173050.85764933375</v>
      </c>
      <c r="CM21" s="84">
        <f t="shared" si="20"/>
        <v>181461.12933109136</v>
      </c>
      <c r="CN21" s="84">
        <f t="shared" si="20"/>
        <v>190280.1402165824</v>
      </c>
      <c r="CO21" s="84">
        <f t="shared" si="20"/>
        <v>199527.7550311083</v>
      </c>
      <c r="CP21" s="84">
        <f t="shared" si="20"/>
        <v>209224.80392562016</v>
      </c>
      <c r="CQ21" s="84">
        <f t="shared" si="20"/>
        <v>219393.1293964053</v>
      </c>
      <c r="CR21" s="84">
        <f t="shared" si="20"/>
        <v>230055.63548507058</v>
      </c>
      <c r="CS21" s="84">
        <f t="shared" si="20"/>
        <v>241236.33936964502</v>
      </c>
      <c r="CT21" s="84">
        <f t="shared" si="20"/>
        <v>252960.42546300977</v>
      </c>
      <c r="CU21" s="84">
        <f t="shared" si="20"/>
        <v>265254.30214051204</v>
      </c>
      <c r="CV21" s="84">
        <f t="shared" si="20"/>
        <v>278145.66122454091</v>
      </c>
      <c r="CW21" s="84">
        <f t="shared" si="20"/>
        <v>291663.54036005359</v>
      </c>
      <c r="CX21" s="84">
        <f t="shared" si="20"/>
        <v>305838.3884215522</v>
      </c>
      <c r="CY21" s="84">
        <f t="shared" si="20"/>
        <v>320702.13409883966</v>
      </c>
      <c r="CZ21" s="84">
        <f t="shared" si="20"/>
        <v>336288.25781604327</v>
      </c>
      <c r="DA21" s="84">
        <f t="shared" ref="DA21:FL21" si="21">CZ21*(1+$BJ$2)</f>
        <v>352631.86714590294</v>
      </c>
      <c r="DB21" s="84">
        <f t="shared" si="21"/>
        <v>369769.77588919381</v>
      </c>
      <c r="DC21" s="84">
        <f t="shared" si="21"/>
        <v>387740.58699740865</v>
      </c>
      <c r="DD21" s="84">
        <f t="shared" si="21"/>
        <v>406584.77952548268</v>
      </c>
      <c r="DE21" s="84">
        <f t="shared" si="21"/>
        <v>426344.79981042113</v>
      </c>
      <c r="DF21" s="84">
        <f t="shared" si="21"/>
        <v>447065.15708120761</v>
      </c>
      <c r="DG21" s="84">
        <f t="shared" si="21"/>
        <v>468792.52371535427</v>
      </c>
      <c r="DH21" s="84">
        <f t="shared" si="21"/>
        <v>491575.84036792046</v>
      </c>
      <c r="DI21" s="84">
        <f t="shared" si="21"/>
        <v>515466.4262098014</v>
      </c>
      <c r="DJ21" s="84">
        <f t="shared" si="21"/>
        <v>540518.09452359774</v>
      </c>
      <c r="DK21" s="84">
        <f t="shared" si="21"/>
        <v>566787.27391744463</v>
      </c>
      <c r="DL21" s="84">
        <f t="shared" si="21"/>
        <v>594333.13542983239</v>
      </c>
      <c r="DM21" s="84">
        <f t="shared" si="21"/>
        <v>623217.72581172222</v>
      </c>
      <c r="DN21" s="84">
        <f t="shared" si="21"/>
        <v>653506.10728617187</v>
      </c>
      <c r="DO21" s="84">
        <f t="shared" si="21"/>
        <v>685266.50410027977</v>
      </c>
      <c r="DP21" s="84">
        <f t="shared" si="21"/>
        <v>718570.45619955333</v>
      </c>
      <c r="DQ21" s="84">
        <f t="shared" si="21"/>
        <v>753492.98037085158</v>
      </c>
      <c r="DR21" s="84">
        <f t="shared" si="21"/>
        <v>790112.73921687494</v>
      </c>
      <c r="DS21" s="84">
        <f t="shared" si="21"/>
        <v>828512.21834281506</v>
      </c>
      <c r="DT21" s="84">
        <f t="shared" si="21"/>
        <v>868777.91215427581</v>
      </c>
      <c r="DU21" s="84">
        <f t="shared" si="21"/>
        <v>911000.51868497359</v>
      </c>
      <c r="DV21" s="84">
        <f t="shared" si="21"/>
        <v>955275.1438930633</v>
      </c>
      <c r="DW21" s="84">
        <f t="shared" si="21"/>
        <v>1001701.5158862661</v>
      </c>
      <c r="DX21" s="84">
        <f t="shared" si="21"/>
        <v>1050384.2095583386</v>
      </c>
      <c r="DY21" s="84">
        <f t="shared" si="21"/>
        <v>1101432.8821428739</v>
      </c>
      <c r="DZ21" s="84">
        <f t="shared" si="21"/>
        <v>1154962.5202150175</v>
      </c>
      <c r="EA21" s="84">
        <f t="shared" si="21"/>
        <v>1211093.6986974673</v>
      </c>
      <c r="EB21" s="84">
        <f t="shared" si="21"/>
        <v>1269952.8524541643</v>
      </c>
      <c r="EC21" s="84">
        <f t="shared" si="21"/>
        <v>1331672.5610834367</v>
      </c>
      <c r="ED21" s="84">
        <f t="shared" si="21"/>
        <v>1396391.8475520918</v>
      </c>
      <c r="EE21" s="84">
        <f t="shared" si="21"/>
        <v>1464256.4913431234</v>
      </c>
      <c r="EF21" s="84">
        <f t="shared" si="21"/>
        <v>1535419.3568223992</v>
      </c>
      <c r="EG21" s="84">
        <f t="shared" si="21"/>
        <v>1610040.7375639677</v>
      </c>
      <c r="EH21" s="84">
        <f t="shared" si="21"/>
        <v>1688288.7174095765</v>
      </c>
      <c r="EI21" s="84">
        <f t="shared" si="21"/>
        <v>1770339.5490756819</v>
      </c>
      <c r="EJ21" s="84">
        <f t="shared" si="21"/>
        <v>1856378.05116076</v>
      </c>
      <c r="EK21" s="84">
        <f t="shared" si="21"/>
        <v>1946598.0244471729</v>
      </c>
      <c r="EL21" s="84">
        <f t="shared" si="21"/>
        <v>2041202.6884353054</v>
      </c>
      <c r="EM21" s="84">
        <f t="shared" si="21"/>
        <v>2140405.1390932612</v>
      </c>
      <c r="EN21" s="84">
        <f t="shared" si="21"/>
        <v>2244428.8288531937</v>
      </c>
      <c r="EO21" s="84">
        <f t="shared" si="21"/>
        <v>2353508.0699354587</v>
      </c>
      <c r="EP21" s="84">
        <f t="shared" si="21"/>
        <v>2467888.5621343218</v>
      </c>
      <c r="EQ21" s="84">
        <f t="shared" si="21"/>
        <v>2587827.9462540499</v>
      </c>
      <c r="ER21" s="84">
        <f t="shared" si="21"/>
        <v>2713596.3844419965</v>
      </c>
      <c r="ES21" s="84">
        <f t="shared" si="21"/>
        <v>2845477.1687258775</v>
      </c>
      <c r="ET21" s="84">
        <f t="shared" si="21"/>
        <v>2983767.359125955</v>
      </c>
      <c r="EU21" s="84">
        <f t="shared" si="21"/>
        <v>3128778.4527794765</v>
      </c>
      <c r="EV21" s="84">
        <f t="shared" si="21"/>
        <v>3280837.085584559</v>
      </c>
      <c r="EW21" s="84">
        <f t="shared" si="21"/>
        <v>3440285.7679439685</v>
      </c>
      <c r="EX21" s="84">
        <f t="shared" si="21"/>
        <v>3607483.6562660453</v>
      </c>
      <c r="EY21" s="84">
        <f t="shared" si="21"/>
        <v>3782807.361960575</v>
      </c>
      <c r="EZ21" s="84">
        <f t="shared" si="21"/>
        <v>3966651.7997518587</v>
      </c>
      <c r="FA21" s="84">
        <f t="shared" si="21"/>
        <v>4159431.0772197992</v>
      </c>
      <c r="FB21" s="84">
        <f t="shared" si="21"/>
        <v>4361579.4275726816</v>
      </c>
      <c r="FC21" s="84">
        <f t="shared" si="21"/>
        <v>4573552.1877527134</v>
      </c>
      <c r="FD21" s="84">
        <f t="shared" si="21"/>
        <v>4795826.8240774954</v>
      </c>
      <c r="FE21" s="84">
        <f t="shared" si="21"/>
        <v>5028904.0077276612</v>
      </c>
      <c r="FF21" s="84">
        <f t="shared" si="21"/>
        <v>5273308.7425032258</v>
      </c>
      <c r="FG21" s="84">
        <f t="shared" si="21"/>
        <v>5529591.5473888824</v>
      </c>
      <c r="FH21" s="84">
        <f t="shared" si="21"/>
        <v>5798329.6965919817</v>
      </c>
      <c r="FI21" s="84">
        <f t="shared" si="21"/>
        <v>6080128.5198463518</v>
      </c>
      <c r="FJ21" s="84">
        <f t="shared" si="21"/>
        <v>6375622.7659108844</v>
      </c>
      <c r="FK21" s="84">
        <f t="shared" si="21"/>
        <v>6685478.0323341535</v>
      </c>
      <c r="FL21" s="84">
        <f t="shared" si="21"/>
        <v>7010392.2647055937</v>
      </c>
      <c r="FM21" s="84">
        <f t="shared" ref="FM21:HX21" si="22">FL21*(1+$BJ$2)</f>
        <v>7351097.3287702855</v>
      </c>
      <c r="FN21" s="84">
        <f t="shared" si="22"/>
        <v>7708360.6589485211</v>
      </c>
      <c r="FO21" s="84">
        <f t="shared" si="22"/>
        <v>8082986.9869734189</v>
      </c>
      <c r="FP21" s="84">
        <f t="shared" si="22"/>
        <v>8475820.1545403264</v>
      </c>
      <c r="FQ21" s="84">
        <f t="shared" si="22"/>
        <v>8887745.0140509866</v>
      </c>
      <c r="FR21" s="84">
        <f t="shared" si="22"/>
        <v>9319689.4217338637</v>
      </c>
      <c r="FS21" s="84">
        <f t="shared" si="22"/>
        <v>9772626.3276301287</v>
      </c>
      <c r="FT21" s="84">
        <f t="shared" si="22"/>
        <v>10247575.967152953</v>
      </c>
      <c r="FU21" s="84">
        <f t="shared" si="22"/>
        <v>10745608.159156587</v>
      </c>
      <c r="FV21" s="84">
        <f t="shared" si="22"/>
        <v>11267844.715691596</v>
      </c>
      <c r="FW21" s="84">
        <f t="shared" si="22"/>
        <v>11815461.968874207</v>
      </c>
      <c r="FX21" s="84">
        <f t="shared" si="22"/>
        <v>12389693.420561492</v>
      </c>
      <c r="FY21" s="84">
        <f t="shared" si="22"/>
        <v>12991832.520800781</v>
      </c>
      <c r="FZ21" s="84">
        <f t="shared" si="22"/>
        <v>13623235.581311699</v>
      </c>
      <c r="GA21" s="84">
        <f t="shared" si="22"/>
        <v>14285324.830563447</v>
      </c>
      <c r="GB21" s="84">
        <f t="shared" si="22"/>
        <v>14979591.61732883</v>
      </c>
      <c r="GC21" s="84">
        <f t="shared" si="22"/>
        <v>15707599.769931011</v>
      </c>
      <c r="GD21" s="84">
        <f t="shared" si="22"/>
        <v>16470989.118749658</v>
      </c>
      <c r="GE21" s="84">
        <f t="shared" si="22"/>
        <v>17271479.189920891</v>
      </c>
      <c r="GF21" s="84">
        <f t="shared" si="22"/>
        <v>18110873.078551047</v>
      </c>
      <c r="GG21" s="84">
        <f t="shared" si="22"/>
        <v>18991061.510168627</v>
      </c>
      <c r="GH21" s="84">
        <f t="shared" si="22"/>
        <v>19914027.09956282</v>
      </c>
      <c r="GI21" s="84">
        <f t="shared" si="22"/>
        <v>20881848.816601574</v>
      </c>
      <c r="GJ21" s="84">
        <f t="shared" si="22"/>
        <v>21896706.669088412</v>
      </c>
      <c r="GK21" s="84">
        <f t="shared" si="22"/>
        <v>22960886.613206107</v>
      </c>
      <c r="GL21" s="84">
        <f t="shared" si="22"/>
        <v>24076785.702607922</v>
      </c>
      <c r="GM21" s="84">
        <f t="shared" si="22"/>
        <v>25246917.487754665</v>
      </c>
      <c r="GN21" s="84">
        <f t="shared" si="22"/>
        <v>26473917.677659541</v>
      </c>
      <c r="GO21" s="84">
        <f t="shared" si="22"/>
        <v>27760550.076793794</v>
      </c>
      <c r="GP21" s="84">
        <f t="shared" si="22"/>
        <v>29109712.810525972</v>
      </c>
      <c r="GQ21" s="84">
        <f t="shared" si="22"/>
        <v>30524444.853117533</v>
      </c>
      <c r="GR21" s="84">
        <f t="shared" si="22"/>
        <v>32007932.872979045</v>
      </c>
      <c r="GS21" s="84">
        <f t="shared" si="22"/>
        <v>33563518.410605825</v>
      </c>
      <c r="GT21" s="84">
        <f t="shared" si="22"/>
        <v>35194705.405361265</v>
      </c>
      <c r="GU21" s="84">
        <f t="shared" si="22"/>
        <v>36905168.088061824</v>
      </c>
      <c r="GV21" s="84">
        <f t="shared" si="22"/>
        <v>38698759.257141627</v>
      </c>
      <c r="GW21" s="84">
        <f t="shared" si="22"/>
        <v>40579518.957038708</v>
      </c>
      <c r="GX21" s="84">
        <f t="shared" si="22"/>
        <v>42551683.57835079</v>
      </c>
      <c r="GY21" s="84">
        <f t="shared" si="22"/>
        <v>44619695.400258638</v>
      </c>
      <c r="GZ21" s="84">
        <f t="shared" si="22"/>
        <v>46788212.596711203</v>
      </c>
      <c r="HA21" s="84">
        <f t="shared" si="22"/>
        <v>49062119.72891137</v>
      </c>
      <c r="HB21" s="84">
        <f t="shared" si="22"/>
        <v>51446538.747736461</v>
      </c>
      <c r="HC21" s="84">
        <f t="shared" si="22"/>
        <v>53946840.53087645</v>
      </c>
      <c r="HD21" s="84">
        <f t="shared" si="22"/>
        <v>56568656.980677046</v>
      </c>
      <c r="HE21" s="84">
        <f t="shared" si="22"/>
        <v>59317893.709937952</v>
      </c>
      <c r="HF21" s="84">
        <f t="shared" si="22"/>
        <v>62200743.344240934</v>
      </c>
      <c r="HG21" s="84">
        <f t="shared" si="22"/>
        <v>65223699.470771044</v>
      </c>
      <c r="HH21" s="84">
        <f t="shared" si="22"/>
        <v>68393571.265050516</v>
      </c>
      <c r="HI21" s="84">
        <f t="shared" si="22"/>
        <v>71717498.828531966</v>
      </c>
      <c r="HJ21" s="84">
        <f t="shared" si="22"/>
        <v>75202969.271598622</v>
      </c>
      <c r="HK21" s="84">
        <f t="shared" si="22"/>
        <v>78857833.578198314</v>
      </c>
      <c r="HL21" s="84">
        <f t="shared" si="22"/>
        <v>82690324.290098757</v>
      </c>
      <c r="HM21" s="84">
        <f t="shared" si="22"/>
        <v>86709074.050597548</v>
      </c>
      <c r="HN21" s="84">
        <f t="shared" si="22"/>
        <v>90923135.049456581</v>
      </c>
      <c r="HO21" s="84">
        <f t="shared" si="22"/>
        <v>95341999.41286017</v>
      </c>
      <c r="HP21" s="84">
        <f t="shared" si="22"/>
        <v>99975620.584325179</v>
      </c>
      <c r="HQ21" s="84">
        <f t="shared" si="22"/>
        <v>104834435.74472338</v>
      </c>
      <c r="HR21" s="84">
        <f t="shared" si="22"/>
        <v>109929389.32191694</v>
      </c>
      <c r="HS21" s="84">
        <f t="shared" si="22"/>
        <v>115271957.6429621</v>
      </c>
      <c r="HT21" s="84">
        <f t="shared" si="22"/>
        <v>120874174.78441006</v>
      </c>
      <c r="HU21" s="84">
        <f t="shared" si="22"/>
        <v>126748659.67893238</v>
      </c>
      <c r="HV21" s="84">
        <f t="shared" si="22"/>
        <v>132908644.5393285</v>
      </c>
      <c r="HW21" s="84">
        <f t="shared" si="22"/>
        <v>139368004.66393986</v>
      </c>
      <c r="HX21" s="84">
        <f t="shared" si="22"/>
        <v>146141289.69060734</v>
      </c>
      <c r="HY21" s="84">
        <f t="shared" ref="HY21:IT21" si="23">HX21*(1+$BJ$2)</f>
        <v>153243756.36957085</v>
      </c>
      <c r="HZ21" s="84">
        <f t="shared" si="23"/>
        <v>160691402.92913198</v>
      </c>
      <c r="IA21" s="84">
        <f t="shared" si="23"/>
        <v>168501005.11148781</v>
      </c>
      <c r="IB21" s="84">
        <f t="shared" si="23"/>
        <v>176690153.9599061</v>
      </c>
      <c r="IC21" s="84">
        <f t="shared" si="23"/>
        <v>185277295.44235754</v>
      </c>
      <c r="ID21" s="84">
        <f t="shared" si="23"/>
        <v>194281772.0008561</v>
      </c>
      <c r="IE21" s="84">
        <f t="shared" si="23"/>
        <v>203723866.1200977</v>
      </c>
      <c r="IF21" s="84">
        <f t="shared" si="23"/>
        <v>213624846.01353443</v>
      </c>
      <c r="IG21" s="84">
        <f t="shared" si="23"/>
        <v>224007013.52979219</v>
      </c>
      <c r="IH21" s="84">
        <f t="shared" si="23"/>
        <v>234893754.3873401</v>
      </c>
      <c r="II21" s="84">
        <f t="shared" si="23"/>
        <v>246309590.85056481</v>
      </c>
      <c r="IJ21" s="84">
        <f t="shared" si="23"/>
        <v>258280236.96590224</v>
      </c>
      <c r="IK21" s="84">
        <f t="shared" si="23"/>
        <v>270832656.48244506</v>
      </c>
      <c r="IL21" s="84">
        <f t="shared" si="23"/>
        <v>283995123.58749187</v>
      </c>
      <c r="IM21" s="84">
        <f t="shared" si="23"/>
        <v>297797286.593844</v>
      </c>
      <c r="IN21" s="84">
        <f t="shared" si="23"/>
        <v>312270234.72230482</v>
      </c>
      <c r="IO21" s="84">
        <f t="shared" si="23"/>
        <v>327446568.12980884</v>
      </c>
      <c r="IP21" s="84">
        <f t="shared" si="23"/>
        <v>343360471.34091753</v>
      </c>
      <c r="IQ21" s="84">
        <f t="shared" si="23"/>
        <v>360047790.24808609</v>
      </c>
      <c r="IR21" s="84">
        <f t="shared" si="23"/>
        <v>377546112.85414308</v>
      </c>
      <c r="IS21" s="84">
        <f t="shared" si="23"/>
        <v>395894853.93885446</v>
      </c>
      <c r="IT21" s="84">
        <f t="shared" si="23"/>
        <v>415135343.8402828</v>
      </c>
      <c r="IU21" s="84"/>
      <c r="IV21" s="84"/>
      <c r="IW21" s="84"/>
      <c r="IX21" s="84"/>
      <c r="IY21" s="84"/>
      <c r="IZ21" s="84"/>
      <c r="JA21" s="84"/>
    </row>
    <row r="23" spans="1:261">
      <c r="A23" s="82"/>
      <c r="B23" s="82"/>
      <c r="C23" s="82"/>
      <c r="D23" s="84" t="s">
        <v>152</v>
      </c>
      <c r="E23" s="82"/>
      <c r="F23" s="82"/>
      <c r="G23" s="82"/>
    </row>
    <row r="24" spans="1:261" ht="28.8">
      <c r="A24" s="11" t="str">
        <f>I4</f>
        <v>With reclaimed water for ground maintenance only</v>
      </c>
      <c r="B24" s="82"/>
      <c r="C24" s="82" t="s">
        <v>247</v>
      </c>
      <c r="D24" s="71">
        <v>0</v>
      </c>
      <c r="E24" s="82">
        <v>1</v>
      </c>
      <c r="F24" s="71">
        <v>2</v>
      </c>
      <c r="G24" s="82">
        <v>3</v>
      </c>
      <c r="H24" s="71">
        <v>4</v>
      </c>
      <c r="I24" s="82">
        <v>5</v>
      </c>
      <c r="J24" s="71">
        <v>6</v>
      </c>
      <c r="K24" s="82">
        <v>7</v>
      </c>
      <c r="L24" s="71">
        <v>8</v>
      </c>
      <c r="M24" s="82">
        <v>9</v>
      </c>
      <c r="N24" s="71">
        <v>10</v>
      </c>
      <c r="O24" s="82">
        <v>11</v>
      </c>
      <c r="P24" s="71">
        <v>12</v>
      </c>
      <c r="Q24" s="82">
        <v>13</v>
      </c>
      <c r="R24" s="71">
        <v>14</v>
      </c>
      <c r="S24" s="82">
        <v>15</v>
      </c>
      <c r="T24" s="71"/>
      <c r="U24" s="82"/>
      <c r="V24" s="71"/>
      <c r="W24" s="82"/>
      <c r="X24" s="71"/>
      <c r="Y24" s="82"/>
      <c r="Z24" s="71"/>
      <c r="AA24" s="82"/>
      <c r="AB24" s="71"/>
      <c r="AC24" s="82"/>
      <c r="AD24" s="71"/>
      <c r="AE24" s="82"/>
      <c r="AF24" s="71"/>
      <c r="AG24" s="82"/>
      <c r="AH24" s="71"/>
      <c r="AI24" s="82"/>
      <c r="AJ24" s="71"/>
      <c r="AK24" s="82"/>
      <c r="AL24" s="71"/>
      <c r="AM24" s="82"/>
      <c r="AN24" s="71"/>
      <c r="AO24" s="82"/>
      <c r="AP24" s="71"/>
      <c r="AQ24" s="82"/>
      <c r="AR24" s="71"/>
      <c r="AS24" s="82"/>
      <c r="AT24" s="71"/>
      <c r="AU24" s="82"/>
      <c r="AV24" s="71"/>
      <c r="AW24" s="82"/>
      <c r="AX24" s="71"/>
      <c r="AY24" s="82"/>
      <c r="AZ24" s="71"/>
      <c r="BA24" s="82"/>
      <c r="BB24" s="71"/>
      <c r="BC24" s="82"/>
      <c r="BD24" s="71"/>
      <c r="BE24" s="82"/>
      <c r="BF24" s="71"/>
      <c r="BG24" s="82"/>
      <c r="BH24" s="71"/>
      <c r="BI24" s="82"/>
      <c r="BJ24" s="71"/>
      <c r="BK24" s="82"/>
      <c r="BL24" s="71"/>
      <c r="BM24" s="82"/>
      <c r="BN24" s="71"/>
      <c r="BO24" s="82"/>
      <c r="BP24" s="71"/>
      <c r="BQ24" s="82"/>
      <c r="BR24" s="71"/>
      <c r="BS24" s="82"/>
      <c r="BT24" s="71"/>
      <c r="BU24" s="82"/>
      <c r="BV24" s="71"/>
      <c r="BW24" s="82"/>
      <c r="BX24" s="71"/>
      <c r="BY24" s="82"/>
      <c r="BZ24" s="71"/>
      <c r="CA24" s="82"/>
      <c r="CB24" s="71"/>
      <c r="CC24" s="82"/>
      <c r="CD24" s="71"/>
      <c r="CE24" s="82"/>
      <c r="CF24" s="71"/>
      <c r="CG24" s="82"/>
      <c r="CH24" s="71"/>
      <c r="CI24" s="82"/>
      <c r="CJ24" s="71"/>
      <c r="CK24" s="82"/>
      <c r="CL24" s="71"/>
      <c r="CM24" s="82"/>
      <c r="CN24" s="71"/>
      <c r="CO24" s="82"/>
      <c r="CP24" s="71"/>
      <c r="CQ24" s="82"/>
      <c r="CR24" s="71"/>
      <c r="CS24" s="82"/>
      <c r="CT24" s="71"/>
      <c r="CU24" s="82"/>
      <c r="CV24" s="71"/>
      <c r="CW24" s="82"/>
      <c r="CX24" s="71"/>
      <c r="CY24" s="82"/>
      <c r="CZ24" s="71"/>
    </row>
    <row r="25" spans="1:261">
      <c r="A25" s="82" t="s">
        <v>246</v>
      </c>
      <c r="B25" s="82" t="s">
        <v>151</v>
      </c>
      <c r="C25" s="84">
        <f>NPV($BL$2,E25:S25)+D25</f>
        <v>12046.456874236173</v>
      </c>
      <c r="D25" s="85">
        <f>-J11</f>
        <v>-220667.22727272753</v>
      </c>
      <c r="E25" s="85">
        <f>-J12</f>
        <v>18377.345889270437</v>
      </c>
      <c r="F25" s="84">
        <f t="shared" ref="F25:S25" si="24">E25*(1+$BJ$2)</f>
        <v>19270.48489948898</v>
      </c>
      <c r="G25" s="84">
        <f t="shared" si="24"/>
        <v>20207.030465604144</v>
      </c>
      <c r="H25" s="84">
        <f t="shared" si="24"/>
        <v>21189.092146232506</v>
      </c>
      <c r="I25" s="84">
        <f t="shared" si="24"/>
        <v>22218.882024539405</v>
      </c>
      <c r="J25" s="84">
        <f t="shared" si="24"/>
        <v>23298.719690932019</v>
      </c>
      <c r="K25" s="84">
        <f t="shared" si="24"/>
        <v>24431.037467911316</v>
      </c>
      <c r="L25" s="84">
        <f t="shared" si="24"/>
        <v>25618.385888851804</v>
      </c>
      <c r="M25" s="84">
        <f t="shared" si="24"/>
        <v>26863.43944305</v>
      </c>
      <c r="N25" s="84">
        <f t="shared" si="24"/>
        <v>28169.002599982228</v>
      </c>
      <c r="O25" s="84">
        <f t="shared" si="24"/>
        <v>29538.016126341365</v>
      </c>
      <c r="P25" s="84">
        <f t="shared" si="24"/>
        <v>30973.563710081555</v>
      </c>
      <c r="Q25" s="84">
        <f t="shared" si="24"/>
        <v>32478.878906391517</v>
      </c>
      <c r="R25" s="84">
        <f t="shared" si="24"/>
        <v>34057.352421242147</v>
      </c>
      <c r="S25" s="84">
        <f t="shared" si="24"/>
        <v>35712.539748914518</v>
      </c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</row>
  </sheetData>
  <mergeCells count="6">
    <mergeCell ref="R5:T5"/>
    <mergeCell ref="O5:Q5"/>
    <mergeCell ref="C5:E5"/>
    <mergeCell ref="L5:N5"/>
    <mergeCell ref="I5:K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Breakdownwaterdemand</vt:lpstr>
      <vt:lpstr>WaterMeterreading</vt:lpstr>
      <vt:lpstr>Rainwater</vt:lpstr>
      <vt:lpstr>WholecampusEnergy</vt:lpstr>
      <vt:lpstr>Energyperm3</vt:lpstr>
      <vt:lpstr>CapitalOperationalCosts</vt:lpstr>
      <vt:lpstr>Chemicals</vt:lpstr>
      <vt:lpstr>Scenarios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JianZang</dc:creator>
  <cp:lastModifiedBy>David Werner</cp:lastModifiedBy>
  <dcterms:created xsi:type="dcterms:W3CDTF">2015-06-05T18:19:34Z</dcterms:created>
  <dcterms:modified xsi:type="dcterms:W3CDTF">2020-12-18T17:11:24Z</dcterms:modified>
</cp:coreProperties>
</file>