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apaporn Document\Great Britain Writing\"/>
    </mc:Choice>
  </mc:AlternateContent>
  <bookViews>
    <workbookView xWindow="0" yWindow="0" windowWidth="25200" windowHeight="11985"/>
  </bookViews>
  <sheets>
    <sheet name="Cement for sale 2003-2013" sheetId="1" r:id="rId1"/>
    <sheet name="Cement Regional Sales 2001-2013" sheetId="2" r:id="rId2"/>
    <sheet name="Cementitious 2001-2013" sheetId="3" r:id="rId3"/>
    <sheet name="Cement, concrete, aggr_MPA data" sheetId="4" r:id="rId4"/>
    <sheet name="Recycled Waste to Concrete 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2" i="3" l="1"/>
  <c r="L81" i="3"/>
  <c r="L80" i="3"/>
  <c r="L79" i="3"/>
  <c r="L78" i="3"/>
  <c r="L77" i="3"/>
  <c r="L76" i="3"/>
  <c r="L75" i="3"/>
  <c r="L74" i="3"/>
  <c r="L73" i="3"/>
  <c r="L72" i="3"/>
  <c r="L71" i="3"/>
  <c r="L70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D78" i="3"/>
  <c r="D77" i="3"/>
  <c r="D76" i="3"/>
  <c r="D75" i="3"/>
  <c r="D74" i="3"/>
  <c r="D73" i="3"/>
  <c r="D72" i="3"/>
  <c r="D71" i="3"/>
  <c r="D70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L61" i="3"/>
  <c r="K61" i="3"/>
  <c r="J61" i="3"/>
  <c r="I61" i="3"/>
  <c r="H61" i="3"/>
  <c r="G61" i="3"/>
  <c r="F61" i="3"/>
  <c r="E61" i="3"/>
  <c r="C61" i="3"/>
  <c r="B61" i="3"/>
  <c r="L56" i="3"/>
  <c r="K56" i="3"/>
  <c r="J56" i="3"/>
  <c r="I56" i="3"/>
  <c r="H56" i="3"/>
  <c r="G56" i="3"/>
  <c r="F56" i="3"/>
  <c r="E56" i="3"/>
  <c r="C56" i="3"/>
  <c r="B56" i="3"/>
  <c r="L51" i="3"/>
  <c r="K51" i="3"/>
  <c r="J51" i="3"/>
  <c r="I51" i="3"/>
  <c r="H51" i="3"/>
  <c r="G51" i="3"/>
  <c r="F51" i="3"/>
  <c r="E51" i="3"/>
  <c r="C51" i="3"/>
  <c r="B51" i="3"/>
  <c r="L46" i="3"/>
  <c r="K46" i="3"/>
  <c r="J46" i="3"/>
  <c r="I46" i="3"/>
  <c r="H46" i="3"/>
  <c r="G46" i="3"/>
  <c r="F46" i="3"/>
  <c r="E46" i="3"/>
  <c r="D46" i="3"/>
  <c r="C46" i="3"/>
  <c r="B46" i="3"/>
  <c r="L41" i="3"/>
  <c r="K41" i="3"/>
  <c r="J41" i="3"/>
  <c r="I41" i="3"/>
  <c r="H41" i="3"/>
  <c r="G41" i="3"/>
  <c r="F41" i="3"/>
  <c r="E41" i="3"/>
  <c r="D41" i="3"/>
  <c r="C41" i="3"/>
  <c r="B41" i="3"/>
  <c r="L36" i="3"/>
  <c r="K36" i="3"/>
  <c r="J36" i="3"/>
  <c r="I36" i="3"/>
  <c r="H36" i="3"/>
  <c r="G36" i="3"/>
  <c r="F36" i="3"/>
  <c r="E36" i="3"/>
  <c r="D36" i="3"/>
  <c r="C36" i="3"/>
  <c r="B36" i="3"/>
  <c r="L31" i="3"/>
  <c r="K31" i="3"/>
  <c r="J31" i="3"/>
  <c r="I31" i="3"/>
  <c r="H31" i="3"/>
  <c r="G31" i="3"/>
  <c r="F31" i="3"/>
  <c r="E31" i="3"/>
  <c r="D31" i="3"/>
  <c r="C31" i="3"/>
  <c r="B31" i="3"/>
  <c r="L26" i="3"/>
  <c r="K26" i="3"/>
  <c r="J26" i="3"/>
  <c r="I26" i="3"/>
  <c r="H26" i="3"/>
  <c r="G26" i="3"/>
  <c r="F26" i="3"/>
  <c r="E26" i="3"/>
  <c r="D26" i="3"/>
  <c r="C26" i="3"/>
  <c r="B26" i="3"/>
  <c r="L21" i="3"/>
  <c r="K21" i="3"/>
  <c r="J21" i="3"/>
  <c r="I21" i="3"/>
  <c r="H21" i="3"/>
  <c r="G21" i="3"/>
  <c r="F21" i="3"/>
  <c r="E21" i="3"/>
  <c r="D21" i="3"/>
  <c r="C21" i="3"/>
  <c r="B21" i="3"/>
  <c r="L16" i="3"/>
  <c r="K16" i="3"/>
  <c r="J16" i="3"/>
  <c r="I16" i="3"/>
  <c r="H16" i="3"/>
  <c r="G16" i="3"/>
  <c r="F16" i="3"/>
  <c r="E16" i="3"/>
  <c r="D16" i="3"/>
  <c r="C16" i="3"/>
  <c r="B16" i="3"/>
  <c r="L11" i="3"/>
  <c r="K11" i="3"/>
  <c r="J11" i="3"/>
  <c r="I11" i="3"/>
  <c r="H11" i="3"/>
  <c r="G11" i="3"/>
  <c r="F11" i="3"/>
  <c r="E11" i="3"/>
  <c r="D11" i="3"/>
  <c r="C11" i="3"/>
  <c r="B11" i="3"/>
  <c r="L6" i="3"/>
  <c r="K6" i="3"/>
  <c r="J6" i="3"/>
  <c r="I6" i="3"/>
  <c r="H6" i="3"/>
  <c r="G6" i="3"/>
  <c r="F6" i="3"/>
  <c r="E6" i="3"/>
  <c r="D6" i="3"/>
  <c r="C6" i="3"/>
  <c r="B6" i="3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J83" i="2"/>
  <c r="J82" i="2"/>
  <c r="J81" i="2"/>
  <c r="J80" i="2"/>
  <c r="J79" i="2"/>
  <c r="J78" i="2"/>
  <c r="J76" i="2"/>
  <c r="J77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L75" i="2"/>
  <c r="L74" i="2"/>
  <c r="L73" i="2"/>
  <c r="L72" i="2"/>
  <c r="L71" i="2"/>
  <c r="K83" i="2"/>
  <c r="K82" i="2"/>
  <c r="K81" i="2"/>
  <c r="K80" i="2"/>
  <c r="K79" i="2"/>
  <c r="K78" i="2"/>
  <c r="K77" i="2"/>
  <c r="K76" i="2"/>
  <c r="I83" i="2"/>
  <c r="I82" i="2"/>
  <c r="I81" i="2"/>
  <c r="I80" i="2"/>
  <c r="I79" i="2"/>
  <c r="I78" i="2"/>
  <c r="I77" i="2"/>
  <c r="I76" i="2"/>
  <c r="H83" i="2"/>
  <c r="H82" i="2"/>
  <c r="H81" i="2"/>
  <c r="H80" i="2"/>
  <c r="H79" i="2"/>
  <c r="H78" i="2"/>
  <c r="H77" i="2"/>
  <c r="H76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M61" i="2"/>
  <c r="L61" i="2"/>
  <c r="J61" i="2"/>
  <c r="I61" i="2"/>
  <c r="H61" i="2"/>
  <c r="G61" i="2"/>
  <c r="F61" i="2"/>
  <c r="E61" i="2"/>
  <c r="D61" i="2"/>
  <c r="C61" i="2"/>
  <c r="B61" i="2"/>
  <c r="M56" i="2"/>
  <c r="L56" i="2"/>
  <c r="J56" i="2"/>
  <c r="I56" i="2"/>
  <c r="H56" i="2"/>
  <c r="G56" i="2"/>
  <c r="F56" i="2"/>
  <c r="E56" i="2"/>
  <c r="D56" i="2"/>
  <c r="C56" i="2"/>
  <c r="B56" i="2"/>
  <c r="M51" i="2"/>
  <c r="L51" i="2"/>
  <c r="J51" i="2"/>
  <c r="I51" i="2"/>
  <c r="H51" i="2"/>
  <c r="G51" i="2"/>
  <c r="F51" i="2"/>
  <c r="E51" i="2"/>
  <c r="D51" i="2"/>
  <c r="C51" i="2"/>
  <c r="B51" i="2"/>
  <c r="M46" i="2"/>
  <c r="L46" i="2"/>
  <c r="J46" i="2"/>
  <c r="I46" i="2"/>
  <c r="H46" i="2"/>
  <c r="G46" i="2"/>
  <c r="F46" i="2"/>
  <c r="E46" i="2"/>
  <c r="D46" i="2"/>
  <c r="C46" i="2"/>
  <c r="B46" i="2"/>
  <c r="M41" i="2"/>
  <c r="L41" i="2"/>
  <c r="J41" i="2"/>
  <c r="I41" i="2"/>
  <c r="H41" i="2"/>
  <c r="G41" i="2"/>
  <c r="F41" i="2"/>
  <c r="E41" i="2"/>
  <c r="D41" i="2"/>
  <c r="C41" i="2"/>
  <c r="B41" i="2"/>
  <c r="M36" i="2"/>
  <c r="L36" i="2"/>
  <c r="J36" i="2"/>
  <c r="I36" i="2"/>
  <c r="H36" i="2"/>
  <c r="G36" i="2"/>
  <c r="F36" i="2"/>
  <c r="E36" i="2"/>
  <c r="D36" i="2"/>
  <c r="C36" i="2"/>
  <c r="B36" i="2"/>
  <c r="M31" i="2"/>
  <c r="L31" i="2"/>
  <c r="J31" i="2"/>
  <c r="I31" i="2"/>
  <c r="H31" i="2"/>
  <c r="G31" i="2"/>
  <c r="F31" i="2"/>
  <c r="E31" i="2"/>
  <c r="D31" i="2"/>
  <c r="C31" i="2"/>
  <c r="B31" i="2"/>
  <c r="M26" i="2"/>
  <c r="L26" i="2"/>
  <c r="K26" i="2"/>
  <c r="G26" i="2"/>
  <c r="F26" i="2"/>
  <c r="E26" i="2"/>
  <c r="D26" i="2"/>
  <c r="C26" i="2"/>
  <c r="B26" i="2"/>
  <c r="M21" i="2"/>
  <c r="L21" i="2"/>
  <c r="K21" i="2"/>
  <c r="G21" i="2"/>
  <c r="F21" i="2"/>
  <c r="E21" i="2"/>
  <c r="D21" i="2"/>
  <c r="C21" i="2"/>
  <c r="B21" i="2"/>
  <c r="M16" i="2"/>
  <c r="L16" i="2"/>
  <c r="K16" i="2"/>
  <c r="G16" i="2"/>
  <c r="F16" i="2"/>
  <c r="E16" i="2"/>
  <c r="D16" i="2"/>
  <c r="C16" i="2"/>
  <c r="B16" i="2"/>
  <c r="M11" i="2"/>
  <c r="L11" i="2"/>
  <c r="K11" i="2"/>
  <c r="G11" i="2"/>
  <c r="F11" i="2"/>
  <c r="E11" i="2"/>
  <c r="D11" i="2"/>
  <c r="C11" i="2"/>
  <c r="B11" i="2"/>
  <c r="M6" i="2"/>
  <c r="L6" i="2"/>
  <c r="K6" i="2"/>
  <c r="G6" i="2"/>
  <c r="F6" i="2"/>
  <c r="E6" i="2"/>
  <c r="D6" i="2"/>
  <c r="C6" i="2"/>
  <c r="B6" i="2"/>
  <c r="M16" i="1"/>
  <c r="M15" i="1"/>
  <c r="M14" i="1"/>
  <c r="M13" i="1"/>
  <c r="M12" i="1"/>
  <c r="M11" i="1"/>
  <c r="M10" i="1"/>
  <c r="M9" i="1"/>
  <c r="M8" i="1"/>
  <c r="M7" i="1"/>
  <c r="M6" i="1"/>
  <c r="L16" i="1"/>
  <c r="L15" i="1"/>
  <c r="L14" i="1"/>
  <c r="L13" i="1"/>
  <c r="L12" i="1"/>
  <c r="L11" i="1"/>
  <c r="L10" i="1"/>
  <c r="L9" i="1"/>
  <c r="L8" i="1"/>
  <c r="L7" i="1"/>
  <c r="L6" i="1"/>
  <c r="K16" i="1"/>
  <c r="K15" i="1"/>
  <c r="K14" i="1"/>
  <c r="K13" i="1"/>
  <c r="K12" i="1"/>
  <c r="K11" i="1"/>
  <c r="K10" i="1"/>
  <c r="K9" i="1"/>
  <c r="K8" i="1"/>
  <c r="K7" i="1"/>
  <c r="K6" i="1"/>
  <c r="J16" i="1"/>
  <c r="J15" i="1"/>
  <c r="J14" i="1"/>
  <c r="J13" i="1"/>
  <c r="J12" i="1"/>
  <c r="J11" i="1"/>
  <c r="J10" i="1"/>
  <c r="J9" i="1"/>
  <c r="J8" i="1"/>
  <c r="J7" i="1"/>
  <c r="J6" i="1"/>
  <c r="I16" i="1"/>
  <c r="I15" i="1"/>
  <c r="I14" i="1"/>
  <c r="I13" i="1"/>
  <c r="I12" i="1"/>
  <c r="I11" i="1"/>
  <c r="I10" i="1"/>
  <c r="I9" i="1"/>
  <c r="I8" i="1"/>
  <c r="I6" i="1"/>
  <c r="I7" i="1"/>
  <c r="F51" i="1"/>
  <c r="E51" i="1"/>
  <c r="D51" i="1"/>
  <c r="C51" i="1"/>
  <c r="B51" i="1"/>
  <c r="F46" i="1"/>
  <c r="E46" i="1"/>
  <c r="D46" i="1"/>
  <c r="C46" i="1"/>
  <c r="B46" i="1"/>
  <c r="F41" i="1"/>
  <c r="E41" i="1"/>
  <c r="D41" i="1"/>
  <c r="C41" i="1"/>
  <c r="B41" i="1"/>
  <c r="F36" i="1"/>
  <c r="E36" i="1"/>
  <c r="D36" i="1"/>
  <c r="C36" i="1"/>
  <c r="B36" i="1"/>
  <c r="F31" i="1"/>
  <c r="E31" i="1"/>
  <c r="D31" i="1"/>
  <c r="C31" i="1"/>
  <c r="B31" i="1"/>
  <c r="F26" i="1"/>
  <c r="E26" i="1"/>
  <c r="D26" i="1"/>
  <c r="C26" i="1"/>
  <c r="B26" i="1"/>
  <c r="F21" i="1"/>
  <c r="E21" i="1"/>
  <c r="D21" i="1"/>
  <c r="C21" i="1"/>
  <c r="B21" i="1"/>
  <c r="F16" i="1"/>
  <c r="E16" i="1"/>
  <c r="D16" i="1"/>
  <c r="C16" i="1"/>
  <c r="B16" i="1"/>
  <c r="F11" i="1"/>
  <c r="E11" i="1"/>
  <c r="D11" i="1"/>
  <c r="C11" i="1"/>
  <c r="B11" i="1"/>
  <c r="F6" i="1"/>
  <c r="E6" i="1"/>
  <c r="D6" i="1"/>
  <c r="C6" i="1"/>
  <c r="B6" i="1"/>
</calcChain>
</file>

<file path=xl/comments1.xml><?xml version="1.0" encoding="utf-8"?>
<comments xmlns="http://schemas.openxmlformats.org/spreadsheetml/2006/main">
  <authors>
    <author>Napaporn Tangtinthai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Building on progress . . . facing the future Summary Sustainable Development Report 2010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Accelerating progress . . . meeting the challenges Summary Sustainable Development Report 2011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Accelerating progress . . . meeting the challenges Summary Sustainable Development Report 2011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http://www.mineralproducts.org/sustainability/data.html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http://www.mineralproducts.org/sustainability/data.html</t>
        </r>
      </text>
    </comment>
  </commentList>
</comments>
</file>

<file path=xl/comments2.xml><?xml version="1.0" encoding="utf-8"?>
<comments xmlns="http://schemas.openxmlformats.org/spreadsheetml/2006/main">
  <authors>
    <author>Napaporn Tangtinthai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Concrete Industry
Sustainability performance Report 6th report: 2012 performance data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Concrete Industry
Sustainability performance Report 6th report: 2012 performance data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Napaporn Tangtinthai:</t>
        </r>
        <r>
          <rPr>
            <sz val="9"/>
            <color indexed="81"/>
            <rFont val="Tahoma"/>
            <family val="2"/>
          </rPr>
          <t xml:space="preserve">
Concrete Industry
Sustainability performance Report 6th report: 2012 performance data</t>
        </r>
      </text>
    </comment>
  </commentList>
</comments>
</file>

<file path=xl/sharedStrings.xml><?xml version="1.0" encoding="utf-8"?>
<sst xmlns="http://schemas.openxmlformats.org/spreadsheetml/2006/main" count="102" uniqueCount="71">
  <si>
    <t xml:space="preserve">Great Britain </t>
  </si>
  <si>
    <t>Quarterly Cement Channel of Sale 2003-2012, Annual Cement Channel of Sale 2013</t>
  </si>
  <si>
    <t>(Figures in Thousand tonnes)</t>
  </si>
  <si>
    <t>Ready Mix</t>
  </si>
  <si>
    <t>Merchant</t>
  </si>
  <si>
    <t>Products</t>
  </si>
  <si>
    <t>Other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</si>
  <si>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Quarterly Cement Channel of Sale 2003-2012, Annual Cement Channel of Sale 2013</t>
    </r>
  </si>
  <si>
    <t>MPA</t>
  </si>
  <si>
    <t>Total</t>
  </si>
  <si>
    <t>Quarterly Cement Regional Sales 2001-2012, Annual Cement Regional Sales 2013</t>
  </si>
  <si>
    <t>South West</t>
  </si>
  <si>
    <t>South East</t>
  </si>
  <si>
    <t xml:space="preserve">East of England </t>
  </si>
  <si>
    <t xml:space="preserve">East Midlands </t>
  </si>
  <si>
    <t>West Midlands</t>
  </si>
  <si>
    <t>Yorks and Humber</t>
  </si>
  <si>
    <t>North West</t>
  </si>
  <si>
    <t>North East</t>
  </si>
  <si>
    <t>Scotland</t>
  </si>
  <si>
    <t>NW, NE &amp;Scotland</t>
  </si>
  <si>
    <t>Wales</t>
  </si>
  <si>
    <t xml:space="preserve">TOTAL Great Britain </t>
  </si>
  <si>
    <t xml:space="preserve"> </t>
  </si>
  <si>
    <t>England</t>
  </si>
  <si>
    <t>TOTAL Great Britain</t>
  </si>
  <si>
    <t>Quarterly Cementitious 2001-2012, Annual Cementitious 2013</t>
  </si>
  <si>
    <t>Clinker Production</t>
  </si>
  <si>
    <t xml:space="preserve">MPA Cement Production </t>
  </si>
  <si>
    <t xml:space="preserve">MPA Cement Export </t>
  </si>
  <si>
    <t>MPA Cement Sales from GB Production</t>
  </si>
  <si>
    <t xml:space="preserve">MPA Cement Imports </t>
  </si>
  <si>
    <t xml:space="preserve">Estimated Imports by Others </t>
  </si>
  <si>
    <t>All Imports</t>
  </si>
  <si>
    <t>Cement Sales (Includes All Imports)</t>
  </si>
  <si>
    <t>Other Cementitious (Fly Ash, GGBS)</t>
  </si>
  <si>
    <t xml:space="preserve">Domestic Cement Sales by MPA </t>
  </si>
  <si>
    <t>ALL Imports</t>
  </si>
  <si>
    <t>Precast Products</t>
  </si>
  <si>
    <t>Total  (Including Cement Additives)</t>
  </si>
  <si>
    <t>TOTAL Cement  (IncludesCement Additives)</t>
  </si>
  <si>
    <t>Consumption &amp; Production</t>
  </si>
  <si>
    <t>Aggregates production (primary) GB (million tonnes)</t>
  </si>
  <si>
    <t>Recycled/secondary materials GB (million tonnes)</t>
  </si>
  <si>
    <r>
      <t>Ready-mixed concrete sales GB (million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</si>
  <si>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Cement - domestic sales GB (million tonnes)</t>
  </si>
  <si>
    <t>Cementitious materials GB (million tonnes)</t>
  </si>
  <si>
    <t>Per capita production aggregates (GB/Europe) (tonnes)</t>
  </si>
  <si>
    <t>3.3/ 5.5</t>
  </si>
  <si>
    <t>3.3/ 5.3</t>
  </si>
  <si>
    <t>Per capita production cement (UK/Europe) (Kgs)</t>
  </si>
  <si>
    <t>158/ 405</t>
  </si>
  <si>
    <t>152/ 417</t>
  </si>
  <si>
    <t>3.4/ 5.8</t>
  </si>
  <si>
    <t>3.1/ 5.1</t>
  </si>
  <si>
    <t>138/ 389</t>
  </si>
  <si>
    <t xml:space="preserve">128/ 310 </t>
  </si>
  <si>
    <t>4.3/ 6.3</t>
  </si>
  <si>
    <t>203/ 504</t>
  </si>
  <si>
    <t>Kilogram of waste to landfill as a proportion of production output (in tonnes)</t>
  </si>
  <si>
    <t>Performance of waste as a proportion of concrete production (Kg/ tonne)</t>
  </si>
  <si>
    <t>Concrete</t>
  </si>
  <si>
    <t>Net waste consumption ratio</t>
  </si>
  <si>
    <t>19; 1</t>
  </si>
  <si>
    <t>18; 1</t>
  </si>
  <si>
    <t>Percent of the use of recycled and secondary aggregates accounted
for  the aggregates used in concrete and reinforcement</t>
  </si>
  <si>
    <t>44; 1</t>
  </si>
  <si>
    <t>63; 1</t>
  </si>
  <si>
    <t>62; 1</t>
  </si>
  <si>
    <t>The use of recycled/secondary aggregates as a proportion of total aggregates used in concrete production</t>
  </si>
  <si>
    <t>Concrete + reinforcement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</si>
</sst>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0" fillId="0" borderId="14" xfId="1" applyNumberFormat="1" applyFont="1" applyBorder="1"/>
    <xf numFmtId="0" fontId="2" fillId="0" borderId="15" xfId="0" applyFont="1" applyBorder="1" applyAlignment="1">
      <alignment horizontal="center" vertical="center"/>
    </xf>
    <xf numFmtId="164" fontId="0" fillId="0" borderId="15" xfId="1" applyNumberFormat="1" applyFont="1" applyBorder="1"/>
    <xf numFmtId="164" fontId="2" fillId="0" borderId="1" xfId="1" applyNumberFormat="1" applyFont="1" applyBorder="1"/>
    <xf numFmtId="164" fontId="2" fillId="0" borderId="13" xfId="1" applyNumberFormat="1" applyFont="1" applyBorder="1"/>
    <xf numFmtId="0" fontId="2" fillId="0" borderId="13" xfId="0" applyFont="1" applyBorder="1"/>
    <xf numFmtId="164" fontId="2" fillId="0" borderId="13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0" fontId="0" fillId="0" borderId="14" xfId="0" applyFont="1" applyBorder="1" applyAlignment="1">
      <alignment horizontal="center" vertical="center"/>
    </xf>
    <xf numFmtId="3" fontId="0" fillId="0" borderId="14" xfId="0" applyNumberFormat="1" applyBorder="1"/>
    <xf numFmtId="0" fontId="0" fillId="0" borderId="14" xfId="0" applyBorder="1"/>
    <xf numFmtId="0" fontId="0" fillId="0" borderId="15" xfId="0" applyFont="1" applyBorder="1" applyAlignment="1">
      <alignment horizontal="center" vertical="center"/>
    </xf>
    <xf numFmtId="3" fontId="0" fillId="0" borderId="15" xfId="0" applyNumberFormat="1" applyBorder="1"/>
    <xf numFmtId="0" fontId="0" fillId="0" borderId="15" xfId="0" applyBorder="1"/>
    <xf numFmtId="3" fontId="2" fillId="0" borderId="13" xfId="0" applyNumberFormat="1" applyFont="1" applyBorder="1"/>
    <xf numFmtId="164" fontId="0" fillId="0" borderId="0" xfId="0" applyNumberFormat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/>
    <xf numFmtId="0" fontId="0" fillId="0" borderId="16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  <a:latin typeface="Cambria" panose="02040503050406030204" pitchFamily="18" charset="0"/>
              </a:rPr>
              <a:t>Cement Channel of Sale</a:t>
            </a:r>
            <a:r>
              <a:rPr lang="en-GB" b="1" baseline="0">
                <a:solidFill>
                  <a:sysClr val="windowText" lastClr="000000"/>
                </a:solidFill>
                <a:latin typeface="Cambria" panose="02040503050406030204" pitchFamily="18" charset="0"/>
              </a:rPr>
              <a:t> in Great Britain </a:t>
            </a:r>
            <a:endParaRPr lang="en-GB" b="1">
              <a:solidFill>
                <a:sysClr val="windowText" lastClr="000000"/>
              </a:solidFill>
              <a:latin typeface="Cambria" panose="020405030504060302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'Cement for sale 2003-2013'!$L$5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'Cement for sale 2003-2013'!$H$6:$H$16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'Cement for sale 2003-2013'!$L$6:$L$16</c:f>
              <c:numCache>
                <c:formatCode>_-* #,##0_-;\-* #,##0_-;_-* "-"??_-;_-@_-</c:formatCode>
                <c:ptCount val="11"/>
                <c:pt idx="0">
                  <c:v>578000</c:v>
                </c:pt>
                <c:pt idx="1">
                  <c:v>546000</c:v>
                </c:pt>
                <c:pt idx="2">
                  <c:v>575000</c:v>
                </c:pt>
                <c:pt idx="3">
                  <c:v>453000</c:v>
                </c:pt>
                <c:pt idx="4">
                  <c:v>458000</c:v>
                </c:pt>
                <c:pt idx="5">
                  <c:v>542000</c:v>
                </c:pt>
                <c:pt idx="6">
                  <c:v>448000</c:v>
                </c:pt>
                <c:pt idx="7">
                  <c:v>287000</c:v>
                </c:pt>
                <c:pt idx="8">
                  <c:v>313000</c:v>
                </c:pt>
                <c:pt idx="9">
                  <c:v>260000</c:v>
                </c:pt>
                <c:pt idx="10">
                  <c:v>360000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'Cement for sale 2003-2013'!$J$5</c:f>
              <c:strCache>
                <c:ptCount val="1"/>
                <c:pt idx="0">
                  <c:v>Merchant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'Cement for sale 2003-2013'!$H$6:$H$16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'Cement for sale 2003-2013'!$J$6:$J$16</c:f>
              <c:numCache>
                <c:formatCode>_-* #,##0_-;\-* #,##0_-;_-* "-"??_-;_-@_-</c:formatCode>
                <c:ptCount val="11"/>
                <c:pt idx="0">
                  <c:v>2423000</c:v>
                </c:pt>
                <c:pt idx="1">
                  <c:v>2399000</c:v>
                </c:pt>
                <c:pt idx="2">
                  <c:v>2203000</c:v>
                </c:pt>
                <c:pt idx="3">
                  <c:v>2158000</c:v>
                </c:pt>
                <c:pt idx="4">
                  <c:v>2198000</c:v>
                </c:pt>
                <c:pt idx="5">
                  <c:v>1992000</c:v>
                </c:pt>
                <c:pt idx="6">
                  <c:v>1579000</c:v>
                </c:pt>
                <c:pt idx="7">
                  <c:v>1573000</c:v>
                </c:pt>
                <c:pt idx="8">
                  <c:v>1615000</c:v>
                </c:pt>
                <c:pt idx="9">
                  <c:v>1496000</c:v>
                </c:pt>
                <c:pt idx="10">
                  <c:v>1519000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'Cement for sale 2003-2013'!$K$5</c:f>
              <c:strCache>
                <c:ptCount val="1"/>
                <c:pt idx="0">
                  <c:v>Precast Products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'Cement for sale 2003-2013'!$H$6:$H$16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'Cement for sale 2003-2013'!$K$6:$K$16</c:f>
              <c:numCache>
                <c:formatCode>_-* #,##0_-;\-* #,##0_-;_-* "-"??_-;_-@_-</c:formatCode>
                <c:ptCount val="11"/>
                <c:pt idx="0">
                  <c:v>3212000</c:v>
                </c:pt>
                <c:pt idx="1">
                  <c:v>3117000</c:v>
                </c:pt>
                <c:pt idx="2">
                  <c:v>2918000</c:v>
                </c:pt>
                <c:pt idx="3">
                  <c:v>2763000</c:v>
                </c:pt>
                <c:pt idx="4">
                  <c:v>2837000</c:v>
                </c:pt>
                <c:pt idx="5">
                  <c:v>2205000</c:v>
                </c:pt>
                <c:pt idx="6">
                  <c:v>1594000</c:v>
                </c:pt>
                <c:pt idx="7">
                  <c:v>1777000</c:v>
                </c:pt>
                <c:pt idx="8">
                  <c:v>1937000</c:v>
                </c:pt>
                <c:pt idx="9">
                  <c:v>1782000</c:v>
                </c:pt>
                <c:pt idx="10">
                  <c:v>1761000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'Cement for sale 2003-2013'!$I$5</c:f>
              <c:strCache>
                <c:ptCount val="1"/>
                <c:pt idx="0">
                  <c:v>Ready Mix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'Cement for sale 2003-2013'!$H$6:$H$16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'Cement for sale 2003-2013'!$I$6:$I$16</c:f>
              <c:numCache>
                <c:formatCode>_-* #,##0_-;\-* #,##0_-;_-* "-"??_-;_-@_-</c:formatCode>
                <c:ptCount val="11"/>
                <c:pt idx="0">
                  <c:v>5442000</c:v>
                </c:pt>
                <c:pt idx="1">
                  <c:v>5613000</c:v>
                </c:pt>
                <c:pt idx="2">
                  <c:v>5611000</c:v>
                </c:pt>
                <c:pt idx="3">
                  <c:v>5948000</c:v>
                </c:pt>
                <c:pt idx="4">
                  <c:v>6404000</c:v>
                </c:pt>
                <c:pt idx="5">
                  <c:v>5402000</c:v>
                </c:pt>
                <c:pt idx="6">
                  <c:v>3992000</c:v>
                </c:pt>
                <c:pt idx="7">
                  <c:v>4189000</c:v>
                </c:pt>
                <c:pt idx="8">
                  <c:v>4535000</c:v>
                </c:pt>
                <c:pt idx="9">
                  <c:v>4250000</c:v>
                </c:pt>
                <c:pt idx="10">
                  <c:v>4680000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'Cement for sale 2003-2013'!$M$5</c:f>
              <c:strCache>
                <c:ptCount val="1"/>
                <c:pt idx="0">
                  <c:v>TOTAL Great Britain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'Cement for sale 2003-2013'!$H$6:$H$16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'Cement for sale 2003-2013'!$M$6:$M$16</c:f>
              <c:numCache>
                <c:formatCode>_-* #,##0_-;\-* #,##0_-;_-* "-"??_-;_-@_-</c:formatCode>
                <c:ptCount val="11"/>
                <c:pt idx="0">
                  <c:v>11656000</c:v>
                </c:pt>
                <c:pt idx="1">
                  <c:v>11676000</c:v>
                </c:pt>
                <c:pt idx="2">
                  <c:v>11307000</c:v>
                </c:pt>
                <c:pt idx="3">
                  <c:v>11324000</c:v>
                </c:pt>
                <c:pt idx="4">
                  <c:v>11898000</c:v>
                </c:pt>
                <c:pt idx="5">
                  <c:v>10141000</c:v>
                </c:pt>
                <c:pt idx="6">
                  <c:v>7612000</c:v>
                </c:pt>
                <c:pt idx="7">
                  <c:v>7826000</c:v>
                </c:pt>
                <c:pt idx="8">
                  <c:v>8398000</c:v>
                </c:pt>
                <c:pt idx="9">
                  <c:v>7787000</c:v>
                </c:pt>
                <c:pt idx="10">
                  <c:v>8321000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419520"/>
        <c:axId val="306216464"/>
      </c:lineChart>
      <c:catAx>
        <c:axId val="297419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Cambria" panose="02040503050406030204" pitchFamily="18" charset="0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306216464"/>
        <c:crossesAt val="0"/>
        <c:auto val="1"/>
        <c:lblAlgn val="ctr"/>
        <c:lblOffset val="100"/>
        <c:noMultiLvlLbl val="0"/>
      </c:catAx>
      <c:valAx>
        <c:axId val="30621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Cambria" panose="02040503050406030204" pitchFamily="18" charset="0"/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297419520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  <a:latin typeface="Cambria" panose="02040503050406030204" pitchFamily="18" charset="0"/>
              </a:rPr>
              <a:t>Cement Regional</a:t>
            </a:r>
            <a:r>
              <a:rPr lang="en-GB" b="1" baseline="0">
                <a:solidFill>
                  <a:sysClr val="windowText" lastClr="000000"/>
                </a:solidFill>
                <a:latin typeface="Cambria" panose="02040503050406030204" pitchFamily="18" charset="0"/>
              </a:rPr>
              <a:t> Sales in Great Britain </a:t>
            </a:r>
            <a:endParaRPr lang="en-GB" b="1">
              <a:solidFill>
                <a:sysClr val="windowText" lastClr="000000"/>
              </a:solidFill>
              <a:latin typeface="Cambria" panose="020405030504060302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18875"/>
          <c:y val="0.12846416666666666"/>
          <c:w val="0.86740847222222217"/>
          <c:h val="0.64434888888888886"/>
        </c:manualLayout>
      </c:layout>
      <c:lineChart>
        <c:grouping val="standard"/>
        <c:varyColors val="0"/>
        <c:ser>
          <c:idx val="1"/>
          <c:order val="0"/>
          <c:tx>
            <c:strRef>
              <c:f>'Cement Regional Sales 2001-2013'!$M$70</c:f>
              <c:strCache>
                <c:ptCount val="1"/>
                <c:pt idx="0">
                  <c:v>Wales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'Cement Regional Sales 2001-2013'!$A$71:$A$83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'Cement Regional Sales 2001-2013'!$M$71:$M$83</c:f>
              <c:numCache>
                <c:formatCode>_-* #,##0_-;\-* #,##0_-;_-* "-"??_-;_-@_-</c:formatCode>
                <c:ptCount val="13"/>
                <c:pt idx="0">
                  <c:v>520000</c:v>
                </c:pt>
                <c:pt idx="1">
                  <c:v>509000</c:v>
                </c:pt>
                <c:pt idx="2">
                  <c:v>536000</c:v>
                </c:pt>
                <c:pt idx="3">
                  <c:v>548000</c:v>
                </c:pt>
                <c:pt idx="4">
                  <c:v>502000</c:v>
                </c:pt>
                <c:pt idx="5">
                  <c:v>496000</c:v>
                </c:pt>
                <c:pt idx="6">
                  <c:v>565000</c:v>
                </c:pt>
                <c:pt idx="7">
                  <c:v>476000</c:v>
                </c:pt>
                <c:pt idx="8">
                  <c:v>350000</c:v>
                </c:pt>
                <c:pt idx="9">
                  <c:v>356000</c:v>
                </c:pt>
                <c:pt idx="10">
                  <c:v>346000</c:v>
                </c:pt>
                <c:pt idx="11">
                  <c:v>349000</c:v>
                </c:pt>
                <c:pt idx="12">
                  <c:v>341000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'Cement Regional Sales 2001-2013'!$K$70</c:f>
              <c:strCache>
                <c:ptCount val="1"/>
                <c:pt idx="0">
                  <c:v>Scotland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'Cement Regional Sales 2001-2013'!$A$71:$A$83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'Cement Regional Sales 2001-2013'!$K$71:$K$83</c:f>
              <c:numCache>
                <c:formatCode>_-* #,##0_-;\-* #,##0_-;_-* "-"??_-;_-@_-</c:formatCode>
                <c:ptCount val="13"/>
                <c:pt idx="5">
                  <c:v>1102000</c:v>
                </c:pt>
                <c:pt idx="6">
                  <c:v>1262000</c:v>
                </c:pt>
                <c:pt idx="7">
                  <c:v>1075000</c:v>
                </c:pt>
                <c:pt idx="8">
                  <c:v>737000</c:v>
                </c:pt>
                <c:pt idx="9">
                  <c:v>772000</c:v>
                </c:pt>
                <c:pt idx="10">
                  <c:v>892000</c:v>
                </c:pt>
                <c:pt idx="11">
                  <c:v>779000</c:v>
                </c:pt>
                <c:pt idx="12">
                  <c:v>842000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'Cement Regional Sales 2001-2013'!$J$70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'Cement Regional Sales 2001-2013'!$J$71:$J$83</c:f>
              <c:numCache>
                <c:formatCode>_-* #,##0_-;\-* #,##0_-;_-* "-"??_-;_-@_-</c:formatCode>
                <c:ptCount val="13"/>
                <c:pt idx="5">
                  <c:v>9730000</c:v>
                </c:pt>
                <c:pt idx="6">
                  <c:v>10073000</c:v>
                </c:pt>
                <c:pt idx="7">
                  <c:v>8590000</c:v>
                </c:pt>
                <c:pt idx="8">
                  <c:v>6496000</c:v>
                </c:pt>
                <c:pt idx="9">
                  <c:v>6696000</c:v>
                </c:pt>
                <c:pt idx="10">
                  <c:v>7161000</c:v>
                </c:pt>
                <c:pt idx="11">
                  <c:v>6659000</c:v>
                </c:pt>
                <c:pt idx="12">
                  <c:v>7140000</c:v>
                </c:pt>
              </c:numCache>
            </c:numRef>
          </c:val>
          <c:smooth val="1"/>
        </c:ser>
        <c:ser>
          <c:idx val="2"/>
          <c:order val="3"/>
          <c:tx>
            <c:strRef>
              <c:f>'Cement Regional Sales 2001-2013'!$N$70</c:f>
              <c:strCache>
                <c:ptCount val="1"/>
                <c:pt idx="0">
                  <c:v>TOTAL Great Britain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'Cement Regional Sales 2001-2013'!$N$71:$N$83</c:f>
              <c:numCache>
                <c:formatCode>_-* #,##0_-;\-* #,##0_-;_-* "-"??_-;_-@_-</c:formatCode>
                <c:ptCount val="13"/>
                <c:pt idx="0">
                  <c:v>11838000</c:v>
                </c:pt>
                <c:pt idx="1">
                  <c:v>11728000</c:v>
                </c:pt>
                <c:pt idx="2">
                  <c:v>11656000</c:v>
                </c:pt>
                <c:pt idx="3">
                  <c:v>11676000</c:v>
                </c:pt>
                <c:pt idx="4">
                  <c:v>11307000</c:v>
                </c:pt>
                <c:pt idx="5">
                  <c:v>11324000</c:v>
                </c:pt>
                <c:pt idx="6">
                  <c:v>11897000</c:v>
                </c:pt>
                <c:pt idx="7">
                  <c:v>10141000</c:v>
                </c:pt>
                <c:pt idx="8">
                  <c:v>7582000</c:v>
                </c:pt>
                <c:pt idx="9">
                  <c:v>7826000</c:v>
                </c:pt>
                <c:pt idx="10">
                  <c:v>8398000</c:v>
                </c:pt>
                <c:pt idx="11">
                  <c:v>7787000</c:v>
                </c:pt>
                <c:pt idx="12">
                  <c:v>8321000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218816"/>
        <c:axId val="306219208"/>
      </c:lineChart>
      <c:catAx>
        <c:axId val="306218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Cambria" panose="02040503050406030204" pitchFamily="18" charset="0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51569861111111115"/>
              <c:y val="0.82837555555555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306219208"/>
        <c:crosses val="autoZero"/>
        <c:auto val="1"/>
        <c:lblAlgn val="ctr"/>
        <c:lblOffset val="100"/>
        <c:noMultiLvlLbl val="0"/>
      </c:catAx>
      <c:valAx>
        <c:axId val="30621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Cambria" panose="02040503050406030204" pitchFamily="18" charset="0"/>
                  </a:rPr>
                  <a:t>Tonnes</a:t>
                </a:r>
              </a:p>
            </c:rich>
          </c:tx>
          <c:layout>
            <c:manualLayout>
              <c:xMode val="edge"/>
              <c:yMode val="edge"/>
              <c:x val="1.361722222222222E-2"/>
              <c:y val="0.36230305555555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306218816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  <a:latin typeface="Cambria" panose="02040503050406030204" pitchFamily="18" charset="0"/>
              </a:rPr>
              <a:t>Cementitious</a:t>
            </a:r>
            <a:r>
              <a:rPr lang="en-GB" sz="1200" b="1" baseline="0">
                <a:solidFill>
                  <a:sysClr val="windowText" lastClr="000000"/>
                </a:solidFill>
                <a:latin typeface="Cambria" panose="02040503050406030204" pitchFamily="18" charset="0"/>
              </a:rPr>
              <a:t> in Great Britain </a:t>
            </a:r>
            <a:endParaRPr lang="en-GB" sz="1200" b="1">
              <a:solidFill>
                <a:sysClr val="windowText" lastClr="000000"/>
              </a:solidFill>
              <a:latin typeface="Cambria" panose="020405030504060302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44472222222221E-2"/>
          <c:y val="0.10967861111111112"/>
          <c:w val="0.8902080555555556"/>
          <c:h val="0.58975916666666661"/>
        </c:manualLayout>
      </c:layout>
      <c:lineChart>
        <c:grouping val="standard"/>
        <c:varyColors val="0"/>
        <c:ser>
          <c:idx val="1"/>
          <c:order val="0"/>
          <c:tx>
            <c:strRef>
              <c:f>'Cementitious 2001-2013'!$B$69</c:f>
              <c:strCache>
                <c:ptCount val="1"/>
                <c:pt idx="0">
                  <c:v>Clinker Production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'Cementitious 2001-2013'!$A$70:$A$82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'Cementitious 2001-2013'!$B$70:$B$82</c:f>
              <c:numCache>
                <c:formatCode>_-* #,##0_-;\-* #,##0_-;_-* "-"??_-;_-@_-</c:formatCode>
                <c:ptCount val="13"/>
                <c:pt idx="0">
                  <c:v>10183000</c:v>
                </c:pt>
                <c:pt idx="1">
                  <c:v>10327000</c:v>
                </c:pt>
                <c:pt idx="2">
                  <c:v>10146000</c:v>
                </c:pt>
                <c:pt idx="3">
                  <c:v>10402000</c:v>
                </c:pt>
                <c:pt idx="4">
                  <c:v>10074000</c:v>
                </c:pt>
                <c:pt idx="5">
                  <c:v>10066000</c:v>
                </c:pt>
                <c:pt idx="6">
                  <c:v>10228000</c:v>
                </c:pt>
                <c:pt idx="7">
                  <c:v>8702000</c:v>
                </c:pt>
                <c:pt idx="8">
                  <c:v>6420000</c:v>
                </c:pt>
                <c:pt idx="9">
                  <c:v>6599000</c:v>
                </c:pt>
                <c:pt idx="10">
                  <c:v>7096000</c:v>
                </c:pt>
                <c:pt idx="11">
                  <c:v>6555000</c:v>
                </c:pt>
                <c:pt idx="12">
                  <c:v>6712000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'Cementitious 2001-2013'!$C$69</c:f>
              <c:strCache>
                <c:ptCount val="1"/>
                <c:pt idx="0">
                  <c:v>MPA Cement Production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'Cementitious 2001-2013'!$A$70:$A$82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'Cementitious 2001-2013'!$C$70:$C$82</c:f>
              <c:numCache>
                <c:formatCode>_-* #,##0_-;\-* #,##0_-;_-* "-"??_-;_-@_-</c:formatCode>
                <c:ptCount val="13"/>
                <c:pt idx="0">
                  <c:v>11090000</c:v>
                </c:pt>
                <c:pt idx="1">
                  <c:v>11089000</c:v>
                </c:pt>
                <c:pt idx="2">
                  <c:v>11215000</c:v>
                </c:pt>
                <c:pt idx="3">
                  <c:v>11405000</c:v>
                </c:pt>
                <c:pt idx="4">
                  <c:v>11216000</c:v>
                </c:pt>
                <c:pt idx="5">
                  <c:v>11469000</c:v>
                </c:pt>
                <c:pt idx="6">
                  <c:v>11888000</c:v>
                </c:pt>
                <c:pt idx="7">
                  <c:v>10074000</c:v>
                </c:pt>
                <c:pt idx="8">
                  <c:v>7623000</c:v>
                </c:pt>
                <c:pt idx="9">
                  <c:v>7882000</c:v>
                </c:pt>
                <c:pt idx="10">
                  <c:v>8529000</c:v>
                </c:pt>
                <c:pt idx="11">
                  <c:v>7952000</c:v>
                </c:pt>
                <c:pt idx="12">
                  <c:v>8203000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'Cementitious 2001-2013'!$G$69</c:f>
              <c:strCache>
                <c:ptCount val="1"/>
                <c:pt idx="0">
                  <c:v>Domestic Cement Sales by MPA 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'Cementitious 2001-2013'!$A$70:$A$82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'Cementitious 2001-2013'!$G$70:$G$82</c:f>
              <c:numCache>
                <c:formatCode>_-* #,##0_-;\-* #,##0_-;_-* "-"??_-;_-@_-</c:formatCode>
                <c:ptCount val="13"/>
                <c:pt idx="0">
                  <c:v>11838000</c:v>
                </c:pt>
                <c:pt idx="1">
                  <c:v>11728000</c:v>
                </c:pt>
                <c:pt idx="2">
                  <c:v>11648000</c:v>
                </c:pt>
                <c:pt idx="3">
                  <c:v>11683000</c:v>
                </c:pt>
                <c:pt idx="4">
                  <c:v>11310000</c:v>
                </c:pt>
                <c:pt idx="5">
                  <c:v>11344000</c:v>
                </c:pt>
                <c:pt idx="6">
                  <c:v>11906000</c:v>
                </c:pt>
                <c:pt idx="7">
                  <c:v>10144000</c:v>
                </c:pt>
                <c:pt idx="8">
                  <c:v>7573000</c:v>
                </c:pt>
                <c:pt idx="9">
                  <c:v>7828000</c:v>
                </c:pt>
                <c:pt idx="10">
                  <c:v>8403000</c:v>
                </c:pt>
                <c:pt idx="11">
                  <c:v>7789000</c:v>
                </c:pt>
                <c:pt idx="12">
                  <c:v>8321000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'Cementitious 2001-2013'!$J$69</c:f>
              <c:strCache>
                <c:ptCount val="1"/>
                <c:pt idx="0">
                  <c:v>Cement Sales (Includes All Imports)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'Cementitious 2001-2013'!$A$70:$A$82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'Cementitious 2001-2013'!$J$70:$J$82</c:f>
              <c:numCache>
                <c:formatCode>_-* #,##0_-;\-* #,##0_-;_-* "-"??_-;_-@_-</c:formatCode>
                <c:ptCount val="13"/>
                <c:pt idx="0">
                  <c:v>12198000</c:v>
                </c:pt>
                <c:pt idx="1">
                  <c:v>12180000</c:v>
                </c:pt>
                <c:pt idx="2">
                  <c:v>12294000</c:v>
                </c:pt>
                <c:pt idx="3">
                  <c:v>12508000</c:v>
                </c:pt>
                <c:pt idx="4">
                  <c:v>12281000</c:v>
                </c:pt>
                <c:pt idx="5">
                  <c:v>12432000</c:v>
                </c:pt>
                <c:pt idx="6">
                  <c:v>13025000</c:v>
                </c:pt>
                <c:pt idx="7">
                  <c:v>11228000</c:v>
                </c:pt>
                <c:pt idx="8">
                  <c:v>8657000</c:v>
                </c:pt>
                <c:pt idx="9">
                  <c:v>8980000</c:v>
                </c:pt>
                <c:pt idx="10">
                  <c:v>9575000</c:v>
                </c:pt>
                <c:pt idx="11">
                  <c:v>8910000</c:v>
                </c:pt>
                <c:pt idx="12">
                  <c:v>9643000</c:v>
                </c:pt>
              </c:numCache>
            </c:numRef>
          </c:val>
          <c:smooth val="1"/>
        </c:ser>
        <c:ser>
          <c:idx val="5"/>
          <c:order val="4"/>
          <c:tx>
            <c:strRef>
              <c:f>'Cementitious 2001-2013'!$L$69</c:f>
              <c:strCache>
                <c:ptCount val="1"/>
                <c:pt idx="0">
                  <c:v>TOTAL Cement  (IncludesCement Additives)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'Cementitious 2001-2013'!$A$70:$A$82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'Cementitious 2001-2013'!$L$70:$L$82</c:f>
              <c:numCache>
                <c:formatCode>_-* #,##0_-;\-* #,##0_-;_-* "-"??_-;_-@_-</c:formatCode>
                <c:ptCount val="13"/>
                <c:pt idx="0">
                  <c:v>14262000</c:v>
                </c:pt>
                <c:pt idx="1">
                  <c:v>14355000</c:v>
                </c:pt>
                <c:pt idx="2">
                  <c:v>14622000</c:v>
                </c:pt>
                <c:pt idx="3">
                  <c:v>14951000</c:v>
                </c:pt>
                <c:pt idx="4">
                  <c:v>14730000</c:v>
                </c:pt>
                <c:pt idx="5">
                  <c:v>15082000</c:v>
                </c:pt>
                <c:pt idx="6">
                  <c:v>15783000</c:v>
                </c:pt>
                <c:pt idx="7">
                  <c:v>13660000</c:v>
                </c:pt>
                <c:pt idx="8">
                  <c:v>10339000</c:v>
                </c:pt>
                <c:pt idx="9">
                  <c:v>10514000</c:v>
                </c:pt>
                <c:pt idx="10">
                  <c:v>11311000</c:v>
                </c:pt>
                <c:pt idx="11">
                  <c:v>10515000</c:v>
                </c:pt>
                <c:pt idx="12">
                  <c:v>11535000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219992"/>
        <c:axId val="306220384"/>
      </c:lineChart>
      <c:catAx>
        <c:axId val="306219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Cambria" panose="02040503050406030204" pitchFamily="18" charset="0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306220384"/>
        <c:crosses val="autoZero"/>
        <c:auto val="1"/>
        <c:lblAlgn val="ctr"/>
        <c:lblOffset val="100"/>
        <c:noMultiLvlLbl val="0"/>
      </c:catAx>
      <c:valAx>
        <c:axId val="306220384"/>
        <c:scaling>
          <c:orientation val="minMax"/>
          <c:max val="16000000"/>
          <c:min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Cambria" panose="02040503050406030204" pitchFamily="18" charset="0"/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306219992"/>
        <c:crosses val="autoZero"/>
        <c:crossBetween val="between"/>
        <c:majorUnit val="3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1.024652777777778E-2"/>
          <c:y val="0.81655388888888891"/>
          <c:w val="0.97709152777777775"/>
          <c:h val="0.18079944444444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  <a:latin typeface="Cambria" panose="02040503050406030204" pitchFamily="18" charset="0"/>
              </a:rPr>
              <a:t>Cementitious</a:t>
            </a:r>
            <a:r>
              <a:rPr lang="en-GB" sz="1200" b="1" baseline="0">
                <a:solidFill>
                  <a:sysClr val="windowText" lastClr="000000"/>
                </a:solidFill>
                <a:latin typeface="Cambria" panose="02040503050406030204" pitchFamily="18" charset="0"/>
              </a:rPr>
              <a:t> in Great Britain </a:t>
            </a:r>
            <a:endParaRPr lang="en-GB" sz="1200" b="1">
              <a:solidFill>
                <a:sysClr val="windowText" lastClr="000000"/>
              </a:solidFill>
              <a:latin typeface="Cambria" panose="020405030504060302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70236111111111E-2"/>
          <c:y val="0.11320638888888891"/>
          <c:w val="0.91718652777777765"/>
          <c:h val="0.67134027777777783"/>
        </c:manualLayout>
      </c:layout>
      <c:lineChart>
        <c:grouping val="standard"/>
        <c:varyColors val="0"/>
        <c:ser>
          <c:idx val="2"/>
          <c:order val="0"/>
          <c:tx>
            <c:strRef>
              <c:f>'Cementitious 2001-2013'!$D$69</c:f>
              <c:strCache>
                <c:ptCount val="1"/>
                <c:pt idx="0">
                  <c:v>MPA Cement Export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'Cementitious 2001-2013'!$A$70:$A$82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'Cementitious 2001-2013'!$D$70:$D$82</c:f>
              <c:numCache>
                <c:formatCode>_-* #,##0_-;\-* #,##0_-;_-* "-"??_-;_-@_-</c:formatCode>
                <c:ptCount val="13"/>
                <c:pt idx="0">
                  <c:v>206000</c:v>
                </c:pt>
                <c:pt idx="1">
                  <c:v>146000</c:v>
                </c:pt>
                <c:pt idx="2">
                  <c:v>164000</c:v>
                </c:pt>
                <c:pt idx="3">
                  <c:v>141000</c:v>
                </c:pt>
                <c:pt idx="4">
                  <c:v>110000</c:v>
                </c:pt>
                <c:pt idx="5">
                  <c:v>126000</c:v>
                </c:pt>
                <c:pt idx="6">
                  <c:v>73000</c:v>
                </c:pt>
                <c:pt idx="7">
                  <c:v>59000</c:v>
                </c:pt>
                <c:pt idx="8">
                  <c:v>21000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'Cementitious 2001-2013'!$F$69</c:f>
              <c:strCache>
                <c:ptCount val="1"/>
                <c:pt idx="0">
                  <c:v>MPA Cement Imports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'Cementitious 2001-2013'!$A$70:$A$82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'Cementitious 2001-2013'!$F$70:$F$82</c:f>
              <c:numCache>
                <c:formatCode>_-* #,##0_-;\-* #,##0_-;_-* "-"??_-;_-@_-</c:formatCode>
                <c:ptCount val="13"/>
                <c:pt idx="0">
                  <c:v>1182000</c:v>
                </c:pt>
                <c:pt idx="1">
                  <c:v>966000</c:v>
                </c:pt>
                <c:pt idx="2">
                  <c:v>576000</c:v>
                </c:pt>
                <c:pt idx="3">
                  <c:v>609000</c:v>
                </c:pt>
                <c:pt idx="4">
                  <c:v>306000</c:v>
                </c:pt>
                <c:pt idx="5">
                  <c:v>122000</c:v>
                </c:pt>
                <c:pt idx="6">
                  <c:v>255000</c:v>
                </c:pt>
                <c:pt idx="7">
                  <c:v>283000</c:v>
                </c:pt>
                <c:pt idx="8">
                  <c:v>100000</c:v>
                </c:pt>
                <c:pt idx="9">
                  <c:v>61000</c:v>
                </c:pt>
                <c:pt idx="10">
                  <c:v>86000</c:v>
                </c:pt>
                <c:pt idx="11">
                  <c:v>62000</c:v>
                </c:pt>
                <c:pt idx="12">
                  <c:v>117000</c:v>
                </c:pt>
              </c:numCache>
            </c:numRef>
          </c:val>
          <c:smooth val="1"/>
        </c:ser>
        <c:ser>
          <c:idx val="6"/>
          <c:order val="2"/>
          <c:tx>
            <c:strRef>
              <c:f>'Cementitious 2001-2013'!$H$69</c:f>
              <c:strCache>
                <c:ptCount val="1"/>
                <c:pt idx="0">
                  <c:v>Estimated Imports by Others 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'Cementitious 2001-2013'!$A$70:$A$82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'Cementitious 2001-2013'!$H$70:$H$82</c:f>
              <c:numCache>
                <c:formatCode>_-* #,##0_-;\-* #,##0_-;_-* "-"??_-;_-@_-</c:formatCode>
                <c:ptCount val="13"/>
                <c:pt idx="0">
                  <c:v>360000</c:v>
                </c:pt>
                <c:pt idx="1">
                  <c:v>452000</c:v>
                </c:pt>
                <c:pt idx="2">
                  <c:v>646000</c:v>
                </c:pt>
                <c:pt idx="3">
                  <c:v>825000</c:v>
                </c:pt>
                <c:pt idx="4">
                  <c:v>971000</c:v>
                </c:pt>
                <c:pt idx="5">
                  <c:v>1089000</c:v>
                </c:pt>
                <c:pt idx="6">
                  <c:v>1121000</c:v>
                </c:pt>
                <c:pt idx="7">
                  <c:v>1084000</c:v>
                </c:pt>
                <c:pt idx="8">
                  <c:v>1086000</c:v>
                </c:pt>
                <c:pt idx="9">
                  <c:v>1153000</c:v>
                </c:pt>
                <c:pt idx="10">
                  <c:v>1173000</c:v>
                </c:pt>
                <c:pt idx="11">
                  <c:v>1121000</c:v>
                </c:pt>
                <c:pt idx="12">
                  <c:v>1322000</c:v>
                </c:pt>
              </c:numCache>
            </c:numRef>
          </c:val>
          <c:smooth val="1"/>
        </c:ser>
        <c:ser>
          <c:idx val="7"/>
          <c:order val="3"/>
          <c:tx>
            <c:strRef>
              <c:f>'Cementitious 2001-2013'!$I$69</c:f>
              <c:strCache>
                <c:ptCount val="1"/>
                <c:pt idx="0">
                  <c:v>ALL Imports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'Cementitious 2001-2013'!$A$70:$A$82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'Cementitious 2001-2013'!$I$70:$I$82</c:f>
              <c:numCache>
                <c:formatCode>_-* #,##0_-;\-* #,##0_-;_-* "-"??_-;_-@_-</c:formatCode>
                <c:ptCount val="13"/>
                <c:pt idx="0">
                  <c:v>1542000</c:v>
                </c:pt>
                <c:pt idx="1">
                  <c:v>1418000</c:v>
                </c:pt>
                <c:pt idx="2">
                  <c:v>1222000</c:v>
                </c:pt>
                <c:pt idx="3">
                  <c:v>1434000</c:v>
                </c:pt>
                <c:pt idx="4">
                  <c:v>1277000</c:v>
                </c:pt>
                <c:pt idx="5">
                  <c:v>1210000</c:v>
                </c:pt>
                <c:pt idx="6">
                  <c:v>1376000</c:v>
                </c:pt>
                <c:pt idx="7">
                  <c:v>1367000</c:v>
                </c:pt>
                <c:pt idx="8">
                  <c:v>1183000</c:v>
                </c:pt>
                <c:pt idx="9">
                  <c:v>1214000</c:v>
                </c:pt>
                <c:pt idx="10">
                  <c:v>1258000</c:v>
                </c:pt>
                <c:pt idx="11">
                  <c:v>1182000</c:v>
                </c:pt>
                <c:pt idx="12">
                  <c:v>1439000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221560"/>
        <c:axId val="306221952"/>
      </c:lineChart>
      <c:catAx>
        <c:axId val="306221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Cambria" panose="02040503050406030204" pitchFamily="18" charset="0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306221952"/>
        <c:crossesAt val="0"/>
        <c:auto val="1"/>
        <c:lblAlgn val="ctr"/>
        <c:lblOffset val="100"/>
        <c:noMultiLvlLbl val="0"/>
      </c:catAx>
      <c:valAx>
        <c:axId val="30622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Cambria" panose="02040503050406030204" pitchFamily="18" charset="0"/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306221560"/>
        <c:crosses val="autoZero"/>
        <c:crossBetween val="between"/>
        <c:majorUnit val="1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  <a:latin typeface="Cambria" panose="02040503050406030204" pitchFamily="18" charset="0"/>
              </a:rPr>
              <a:t>Other</a:t>
            </a:r>
            <a:r>
              <a:rPr lang="en-GB" b="1" baseline="0">
                <a:solidFill>
                  <a:sysClr val="windowText" lastClr="000000"/>
                </a:solidFill>
                <a:latin typeface="Cambria" panose="02040503050406030204" pitchFamily="18" charset="0"/>
              </a:rPr>
              <a:t> </a:t>
            </a:r>
            <a:r>
              <a:rPr lang="en-GB" b="1">
                <a:solidFill>
                  <a:sysClr val="windowText" lastClr="000000"/>
                </a:solidFill>
                <a:latin typeface="Cambria" panose="02040503050406030204" pitchFamily="18" charset="0"/>
              </a:rPr>
              <a:t>Cementitious</a:t>
            </a:r>
            <a:r>
              <a:rPr lang="en-GB" b="1" baseline="0">
                <a:solidFill>
                  <a:sysClr val="windowText" lastClr="000000"/>
                </a:solidFill>
                <a:latin typeface="Cambria" panose="02040503050406030204" pitchFamily="18" charset="0"/>
              </a:rPr>
              <a:t> in Great Britain (2001 - 2013)</a:t>
            </a:r>
            <a:endParaRPr lang="en-GB" b="1">
              <a:solidFill>
                <a:sysClr val="windowText" lastClr="000000"/>
              </a:solidFill>
              <a:latin typeface="Cambria" panose="020405030504060302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222500000000006E-2"/>
          <c:y val="0.10967861111111112"/>
          <c:w val="0.91843027777777775"/>
          <c:h val="0.59328694444444441"/>
        </c:manualLayout>
      </c:layout>
      <c:lineChart>
        <c:grouping val="standard"/>
        <c:varyColors val="0"/>
        <c:ser>
          <c:idx val="0"/>
          <c:order val="0"/>
          <c:tx>
            <c:strRef>
              <c:f>'Cementitious 2001-2013'!$K$69</c:f>
              <c:strCache>
                <c:ptCount val="1"/>
                <c:pt idx="0">
                  <c:v>Other Cementitious (Fly Ash, GGBS)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'Cementitious 2001-2013'!$A$70:$A$82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'Cementitious 2001-2013'!$K$70:$K$82</c:f>
              <c:numCache>
                <c:formatCode>_-* #,##0_-;\-* #,##0_-;_-* "-"??_-;_-@_-</c:formatCode>
                <c:ptCount val="13"/>
                <c:pt idx="0">
                  <c:v>2064000</c:v>
                </c:pt>
                <c:pt idx="1">
                  <c:v>2175000</c:v>
                </c:pt>
                <c:pt idx="2">
                  <c:v>2328000</c:v>
                </c:pt>
                <c:pt idx="3">
                  <c:v>2443000</c:v>
                </c:pt>
                <c:pt idx="4">
                  <c:v>2449000</c:v>
                </c:pt>
                <c:pt idx="5">
                  <c:v>2650000</c:v>
                </c:pt>
                <c:pt idx="6">
                  <c:v>2758000</c:v>
                </c:pt>
                <c:pt idx="7">
                  <c:v>2433000</c:v>
                </c:pt>
                <c:pt idx="8">
                  <c:v>1680000</c:v>
                </c:pt>
                <c:pt idx="9">
                  <c:v>1534000</c:v>
                </c:pt>
                <c:pt idx="10">
                  <c:v>1736000</c:v>
                </c:pt>
                <c:pt idx="11">
                  <c:v>1603000</c:v>
                </c:pt>
                <c:pt idx="12">
                  <c:v>1892000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222736"/>
        <c:axId val="306223128"/>
      </c:lineChart>
      <c:catAx>
        <c:axId val="306222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Cambria" panose="02040503050406030204" pitchFamily="18" charset="0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306223128"/>
        <c:crosses val="autoZero"/>
        <c:auto val="1"/>
        <c:lblAlgn val="ctr"/>
        <c:lblOffset val="100"/>
        <c:noMultiLvlLbl val="0"/>
      </c:catAx>
      <c:valAx>
        <c:axId val="306223128"/>
        <c:scaling>
          <c:orientation val="minMax"/>
          <c:min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Cambria" panose="02040503050406030204" pitchFamily="18" charset="0"/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306222736"/>
        <c:crosses val="autoZero"/>
        <c:crossBetween val="between"/>
        <c:majorUnit val="1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1.5538194444444445E-2"/>
          <c:y val="0.81655388888888891"/>
          <c:w val="0.97179986111111127"/>
          <c:h val="0.18079944444444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266698</xdr:colOff>
      <xdr:row>19</xdr:row>
      <xdr:rowOff>100012</xdr:rowOff>
    </xdr:from>
    <xdr:to>
      <xdr:col>14</xdr:col>
      <xdr:colOff>513448</xdr:colOff>
      <xdr:row>38</xdr:row>
      <xdr:rowOff>80512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152401</xdr:colOff>
      <xdr:row>83</xdr:row>
      <xdr:rowOff>119061</xdr:rowOff>
    </xdr:from>
    <xdr:to>
      <xdr:col>9</xdr:col>
      <xdr:colOff>494401</xdr:colOff>
      <xdr:row>102</xdr:row>
      <xdr:rowOff>99561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25</xdr:row>
      <xdr:rowOff>28575</xdr:rowOff>
    </xdr:from>
    <xdr:to>
      <xdr:col>23</xdr:col>
      <xdr:colOff>94350</xdr:colOff>
      <xdr:row>44</xdr:row>
      <xdr:rowOff>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142875</xdr:colOff>
      <xdr:row>49</xdr:row>
      <xdr:rowOff>9525</xdr:rowOff>
    </xdr:from>
    <xdr:to>
      <xdr:col>23</xdr:col>
      <xdr:colOff>122925</xdr:colOff>
      <xdr:row>67</xdr:row>
      <xdr:rowOff>180525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33</xdr:row>
      <xdr:rowOff>0</xdr:rowOff>
    </xdr:from>
    <xdr:to>
      <xdr:col>35</xdr:col>
      <xdr:colOff>494400</xdr:colOff>
      <xdr:row>51</xdr:row>
      <xdr:rowOff>171000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16" workbookViewId="0">
      <selection activeCell="N7" sqref="N7"/>
    </sheetView>
  </sheetViews>
  <sheetFormatPr defaultRowHeight="15" x14ac:dyDescent="0.25"/>
  <cols>
    <col min="1" max="6" width="15.85546875" customWidth="1"/>
    <col min="8" max="12" width="15.85546875" customWidth="1"/>
    <col min="13" max="13" width="18.85546875" customWidth="1"/>
  </cols>
  <sheetData>
    <row r="1" spans="1:13" x14ac:dyDescent="0.25">
      <c r="A1" s="1" t="s">
        <v>0</v>
      </c>
    </row>
    <row r="3" spans="1:13" x14ac:dyDescent="0.25">
      <c r="A3" s="1" t="s">
        <v>1</v>
      </c>
    </row>
    <row r="5" spans="1:13" ht="45" x14ac:dyDescent="0.25">
      <c r="A5" s="6" t="s">
        <v>2</v>
      </c>
      <c r="B5" s="9" t="s">
        <v>3</v>
      </c>
      <c r="C5" s="9" t="s">
        <v>4</v>
      </c>
      <c r="D5" s="17" t="s">
        <v>5</v>
      </c>
      <c r="E5" s="7" t="s">
        <v>6</v>
      </c>
      <c r="F5" s="7" t="s">
        <v>9</v>
      </c>
      <c r="H5" s="24"/>
      <c r="I5" s="17" t="s">
        <v>3</v>
      </c>
      <c r="J5" s="17" t="s">
        <v>4</v>
      </c>
      <c r="K5" s="17" t="s">
        <v>38</v>
      </c>
      <c r="L5" s="17" t="s">
        <v>6</v>
      </c>
      <c r="M5" s="17" t="s">
        <v>25</v>
      </c>
    </row>
    <row r="6" spans="1:13" x14ac:dyDescent="0.25">
      <c r="A6" s="8">
        <v>2003</v>
      </c>
      <c r="B6" s="13">
        <f>SUM(B7:B10)</f>
        <v>5442</v>
      </c>
      <c r="C6" s="13">
        <f>SUM(C7:C10)</f>
        <v>2423</v>
      </c>
      <c r="D6" s="18">
        <f>SUM(D7:D10)</f>
        <v>3212</v>
      </c>
      <c r="E6" s="10">
        <f>SUM(E7:E10)</f>
        <v>578</v>
      </c>
      <c r="F6" s="10">
        <f>SUM(F7:F10)</f>
        <v>11656</v>
      </c>
      <c r="H6" s="17">
        <v>2003</v>
      </c>
      <c r="I6" s="21">
        <f>5442*1000</f>
        <v>5442000</v>
      </c>
      <c r="J6" s="21">
        <f>2423*1000</f>
        <v>2423000</v>
      </c>
      <c r="K6" s="21">
        <f>3212*1000</f>
        <v>3212000</v>
      </c>
      <c r="L6" s="21">
        <f>578*1000</f>
        <v>578000</v>
      </c>
      <c r="M6" s="21">
        <f>11656*1000</f>
        <v>11656000</v>
      </c>
    </row>
    <row r="7" spans="1:13" x14ac:dyDescent="0.25">
      <c r="A7" s="4"/>
      <c r="B7" s="14">
        <v>1348</v>
      </c>
      <c r="C7" s="14">
        <v>557</v>
      </c>
      <c r="D7" s="19">
        <v>828</v>
      </c>
      <c r="E7" s="11">
        <v>114</v>
      </c>
      <c r="F7" s="11">
        <v>2847</v>
      </c>
      <c r="H7" s="17">
        <v>2004</v>
      </c>
      <c r="I7" s="21">
        <f>5613*1000</f>
        <v>5613000</v>
      </c>
      <c r="J7" s="21">
        <f>2399*1000</f>
        <v>2399000</v>
      </c>
      <c r="K7" s="21">
        <f>3117*1000</f>
        <v>3117000</v>
      </c>
      <c r="L7" s="21">
        <f>546*1000</f>
        <v>546000</v>
      </c>
      <c r="M7" s="21">
        <f>11676*1000</f>
        <v>11676000</v>
      </c>
    </row>
    <row r="8" spans="1:13" x14ac:dyDescent="0.25">
      <c r="A8" s="3"/>
      <c r="B8" s="14">
        <v>1391</v>
      </c>
      <c r="C8" s="14">
        <v>691</v>
      </c>
      <c r="D8" s="19">
        <v>822</v>
      </c>
      <c r="E8" s="11">
        <v>172</v>
      </c>
      <c r="F8" s="11">
        <v>3077</v>
      </c>
      <c r="H8" s="17">
        <v>2005</v>
      </c>
      <c r="I8" s="21">
        <f>5611*1000</f>
        <v>5611000</v>
      </c>
      <c r="J8" s="21">
        <f>2203*1000</f>
        <v>2203000</v>
      </c>
      <c r="K8" s="21">
        <f>2918*1000</f>
        <v>2918000</v>
      </c>
      <c r="L8" s="21">
        <f>575*1000</f>
        <v>575000</v>
      </c>
      <c r="M8" s="21">
        <f>11307*1000</f>
        <v>11307000</v>
      </c>
    </row>
    <row r="9" spans="1:13" x14ac:dyDescent="0.25">
      <c r="A9" s="3"/>
      <c r="B9" s="14">
        <v>1425</v>
      </c>
      <c r="C9" s="14">
        <v>671</v>
      </c>
      <c r="D9" s="19">
        <v>796</v>
      </c>
      <c r="E9" s="11">
        <v>165</v>
      </c>
      <c r="F9" s="11">
        <v>3057</v>
      </c>
      <c r="H9" s="17">
        <v>2006</v>
      </c>
      <c r="I9" s="21">
        <f>5948*1000</f>
        <v>5948000</v>
      </c>
      <c r="J9" s="21">
        <f>2158*1000</f>
        <v>2158000</v>
      </c>
      <c r="K9" s="21">
        <f>2763*1000</f>
        <v>2763000</v>
      </c>
      <c r="L9" s="21">
        <f>453*1000</f>
        <v>453000</v>
      </c>
      <c r="M9" s="21">
        <f>11324*1000</f>
        <v>11324000</v>
      </c>
    </row>
    <row r="10" spans="1:13" x14ac:dyDescent="0.25">
      <c r="A10" s="5"/>
      <c r="B10" s="15">
        <v>1278</v>
      </c>
      <c r="C10" s="15">
        <v>504</v>
      </c>
      <c r="D10" s="20">
        <v>766</v>
      </c>
      <c r="E10" s="12">
        <v>127</v>
      </c>
      <c r="F10" s="12">
        <v>2675</v>
      </c>
      <c r="H10" s="17">
        <v>2007</v>
      </c>
      <c r="I10" s="21">
        <f>6404*1000</f>
        <v>6404000</v>
      </c>
      <c r="J10" s="21">
        <f>2198*1000</f>
        <v>2198000</v>
      </c>
      <c r="K10" s="21">
        <f>2837*1000</f>
        <v>2837000</v>
      </c>
      <c r="L10" s="21">
        <f>458*1000</f>
        <v>458000</v>
      </c>
      <c r="M10" s="21">
        <f>11898*1000</f>
        <v>11898000</v>
      </c>
    </row>
    <row r="11" spans="1:13" x14ac:dyDescent="0.25">
      <c r="A11" s="8">
        <v>2004</v>
      </c>
      <c r="B11" s="13">
        <f>SUM(B12:B15)</f>
        <v>5613</v>
      </c>
      <c r="C11" s="13">
        <f>SUM(C12:C15)</f>
        <v>2399</v>
      </c>
      <c r="D11" s="18">
        <f>SUM(D12:D15)</f>
        <v>3117</v>
      </c>
      <c r="E11" s="10">
        <f>SUM(E12:E15)</f>
        <v>546</v>
      </c>
      <c r="F11" s="10">
        <f>SUM(F12:F15)</f>
        <v>11676</v>
      </c>
      <c r="H11" s="17">
        <v>2008</v>
      </c>
      <c r="I11" s="21">
        <f>5402*1000</f>
        <v>5402000</v>
      </c>
      <c r="J11" s="21">
        <f>1992*1000</f>
        <v>1992000</v>
      </c>
      <c r="K11" s="21">
        <f>2205*1000</f>
        <v>2205000</v>
      </c>
      <c r="L11" s="21">
        <f>542*1000</f>
        <v>542000</v>
      </c>
      <c r="M11" s="21">
        <f>10141*1000</f>
        <v>10141000</v>
      </c>
    </row>
    <row r="12" spans="1:13" x14ac:dyDescent="0.25">
      <c r="A12" s="3"/>
      <c r="B12" s="14">
        <v>1328</v>
      </c>
      <c r="C12" s="14">
        <v>528</v>
      </c>
      <c r="D12" s="19">
        <v>831</v>
      </c>
      <c r="E12" s="11">
        <v>128</v>
      </c>
      <c r="F12" s="11">
        <v>2816</v>
      </c>
      <c r="H12" s="17">
        <v>2009</v>
      </c>
      <c r="I12" s="21">
        <f>3992*1000</f>
        <v>3992000</v>
      </c>
      <c r="J12" s="21">
        <f>1579*1000</f>
        <v>1579000</v>
      </c>
      <c r="K12" s="21">
        <f>1594*1000</f>
        <v>1594000</v>
      </c>
      <c r="L12" s="21">
        <f>448*1000</f>
        <v>448000</v>
      </c>
      <c r="M12" s="21">
        <f>7612*1000</f>
        <v>7612000</v>
      </c>
    </row>
    <row r="13" spans="1:13" x14ac:dyDescent="0.25">
      <c r="A13" s="3"/>
      <c r="B13" s="14">
        <v>1423</v>
      </c>
      <c r="C13" s="14">
        <v>691</v>
      </c>
      <c r="D13" s="19">
        <v>795</v>
      </c>
      <c r="E13" s="11">
        <v>138</v>
      </c>
      <c r="F13" s="11">
        <v>3048</v>
      </c>
      <c r="H13" s="17">
        <v>2010</v>
      </c>
      <c r="I13" s="21">
        <f>4189*1000</f>
        <v>4189000</v>
      </c>
      <c r="J13" s="21">
        <f>1573*1000</f>
        <v>1573000</v>
      </c>
      <c r="K13" s="21">
        <f>1777*1000</f>
        <v>1777000</v>
      </c>
      <c r="L13" s="21">
        <f>287*1000</f>
        <v>287000</v>
      </c>
      <c r="M13" s="21">
        <f>7826*1000</f>
        <v>7826000</v>
      </c>
    </row>
    <row r="14" spans="1:13" x14ac:dyDescent="0.25">
      <c r="A14" s="3"/>
      <c r="B14" s="14">
        <v>1472</v>
      </c>
      <c r="C14" s="14">
        <v>651</v>
      </c>
      <c r="D14" s="19">
        <v>772</v>
      </c>
      <c r="E14" s="11">
        <v>153</v>
      </c>
      <c r="F14" s="11">
        <v>3048</v>
      </c>
      <c r="H14" s="17">
        <v>2011</v>
      </c>
      <c r="I14" s="21">
        <f>4535*1000</f>
        <v>4535000</v>
      </c>
      <c r="J14" s="21">
        <f>1615*1000</f>
        <v>1615000</v>
      </c>
      <c r="K14" s="21">
        <f>1937*1000</f>
        <v>1937000</v>
      </c>
      <c r="L14" s="21">
        <f>313*1000</f>
        <v>313000</v>
      </c>
      <c r="M14" s="21">
        <f>8398*1000</f>
        <v>8398000</v>
      </c>
    </row>
    <row r="15" spans="1:13" x14ac:dyDescent="0.25">
      <c r="A15" s="5"/>
      <c r="B15" s="15">
        <v>1390</v>
      </c>
      <c r="C15" s="15">
        <v>529</v>
      </c>
      <c r="D15" s="20">
        <v>719</v>
      </c>
      <c r="E15" s="12">
        <v>127</v>
      </c>
      <c r="F15" s="12">
        <v>2764</v>
      </c>
      <c r="H15" s="17">
        <v>2012</v>
      </c>
      <c r="I15" s="21">
        <f>4250*1000</f>
        <v>4250000</v>
      </c>
      <c r="J15" s="21">
        <f>1496*1000</f>
        <v>1496000</v>
      </c>
      <c r="K15" s="21">
        <f>1782*1000</f>
        <v>1782000</v>
      </c>
      <c r="L15" s="21">
        <f>260*1000</f>
        <v>260000</v>
      </c>
      <c r="M15" s="21">
        <f>7787*1000</f>
        <v>7787000</v>
      </c>
    </row>
    <row r="16" spans="1:13" x14ac:dyDescent="0.25">
      <c r="A16" s="8">
        <v>2005</v>
      </c>
      <c r="B16" s="13">
        <f>SUM(B17:B20)</f>
        <v>5611</v>
      </c>
      <c r="C16" s="13">
        <f>SUM(C17:C20)</f>
        <v>2203</v>
      </c>
      <c r="D16" s="18">
        <f>SUM(D17:D20)</f>
        <v>2918</v>
      </c>
      <c r="E16" s="10">
        <f>SUM(E17:E20)</f>
        <v>575</v>
      </c>
      <c r="F16" s="10">
        <f>SUM(F17:F20)</f>
        <v>11307</v>
      </c>
      <c r="H16" s="17">
        <v>2013</v>
      </c>
      <c r="I16" s="21">
        <f>4680*1000</f>
        <v>4680000</v>
      </c>
      <c r="J16" s="21">
        <f>1519*1000</f>
        <v>1519000</v>
      </c>
      <c r="K16" s="21">
        <f>1761*1000</f>
        <v>1761000</v>
      </c>
      <c r="L16" s="21">
        <f>360*1000</f>
        <v>360000</v>
      </c>
      <c r="M16" s="21">
        <f>8321*1000</f>
        <v>8321000</v>
      </c>
    </row>
    <row r="17" spans="1:6" x14ac:dyDescent="0.25">
      <c r="A17" s="3"/>
      <c r="B17" s="14">
        <v>1286</v>
      </c>
      <c r="C17" s="14">
        <v>469</v>
      </c>
      <c r="D17" s="19">
        <v>756</v>
      </c>
      <c r="E17" s="11">
        <v>148</v>
      </c>
      <c r="F17" s="11">
        <v>2659</v>
      </c>
    </row>
    <row r="18" spans="1:6" x14ac:dyDescent="0.25">
      <c r="A18" s="3"/>
      <c r="B18" s="14">
        <v>1488</v>
      </c>
      <c r="C18" s="14">
        <v>654</v>
      </c>
      <c r="D18" s="19">
        <v>781</v>
      </c>
      <c r="E18" s="11">
        <v>133</v>
      </c>
      <c r="F18" s="11">
        <v>3056</v>
      </c>
    </row>
    <row r="19" spans="1:6" x14ac:dyDescent="0.25">
      <c r="A19" s="3"/>
      <c r="B19" s="14">
        <v>1476</v>
      </c>
      <c r="C19" s="14">
        <v>647</v>
      </c>
      <c r="D19" s="19">
        <v>722</v>
      </c>
      <c r="E19" s="11">
        <v>152</v>
      </c>
      <c r="F19" s="11">
        <v>2997</v>
      </c>
    </row>
    <row r="20" spans="1:6" x14ac:dyDescent="0.25">
      <c r="A20" s="5"/>
      <c r="B20" s="15">
        <v>1361</v>
      </c>
      <c r="C20" s="15">
        <v>433</v>
      </c>
      <c r="D20" s="20">
        <v>659</v>
      </c>
      <c r="E20" s="12">
        <v>142</v>
      </c>
      <c r="F20" s="12">
        <v>2595</v>
      </c>
    </row>
    <row r="21" spans="1:6" x14ac:dyDescent="0.25">
      <c r="A21" s="8">
        <v>2006</v>
      </c>
      <c r="B21" s="13">
        <f>SUM(B22:B25)</f>
        <v>5948</v>
      </c>
      <c r="C21" s="13">
        <f>SUM(C22:C25)</f>
        <v>2158</v>
      </c>
      <c r="D21" s="18">
        <f>SUM(D22:D25)</f>
        <v>2763</v>
      </c>
      <c r="E21" s="10">
        <f>SUM(E22:E25)</f>
        <v>453</v>
      </c>
      <c r="F21" s="10">
        <f>SUM(F22:F25)</f>
        <v>11324</v>
      </c>
    </row>
    <row r="22" spans="1:6" x14ac:dyDescent="0.25">
      <c r="A22" s="3"/>
      <c r="B22" s="14">
        <v>1487</v>
      </c>
      <c r="C22" s="14">
        <v>486</v>
      </c>
      <c r="D22" s="19">
        <v>723</v>
      </c>
      <c r="E22" s="11">
        <v>134</v>
      </c>
      <c r="F22" s="11">
        <v>2830</v>
      </c>
    </row>
    <row r="23" spans="1:6" x14ac:dyDescent="0.25">
      <c r="A23" s="3"/>
      <c r="B23" s="14">
        <v>1419</v>
      </c>
      <c r="C23" s="14">
        <v>610</v>
      </c>
      <c r="D23" s="19">
        <v>702</v>
      </c>
      <c r="E23" s="11">
        <v>107</v>
      </c>
      <c r="F23" s="11">
        <v>2839</v>
      </c>
    </row>
    <row r="24" spans="1:6" x14ac:dyDescent="0.25">
      <c r="A24" s="3"/>
      <c r="B24" s="14">
        <v>1497</v>
      </c>
      <c r="C24" s="14">
        <v>622</v>
      </c>
      <c r="D24" s="19">
        <v>680</v>
      </c>
      <c r="E24" s="11">
        <v>108</v>
      </c>
      <c r="F24" s="11">
        <v>2908</v>
      </c>
    </row>
    <row r="25" spans="1:6" x14ac:dyDescent="0.25">
      <c r="A25" s="3"/>
      <c r="B25" s="15">
        <v>1545</v>
      </c>
      <c r="C25" s="15">
        <v>440</v>
      </c>
      <c r="D25" s="20">
        <v>658</v>
      </c>
      <c r="E25" s="12">
        <v>104</v>
      </c>
      <c r="F25" s="12">
        <v>2747</v>
      </c>
    </row>
    <row r="26" spans="1:6" x14ac:dyDescent="0.25">
      <c r="A26" s="8">
        <v>2007</v>
      </c>
      <c r="B26" s="13">
        <f>SUM(B27:B30)</f>
        <v>6404</v>
      </c>
      <c r="C26" s="13">
        <f>SUM(C27:C30)</f>
        <v>2198</v>
      </c>
      <c r="D26" s="18">
        <f>SUM(D27:D30)</f>
        <v>2837</v>
      </c>
      <c r="E26" s="10">
        <f>SUM(E27:E30)</f>
        <v>458</v>
      </c>
      <c r="F26" s="10">
        <f>SUM(F27:F30)</f>
        <v>11898</v>
      </c>
    </row>
    <row r="27" spans="1:6" x14ac:dyDescent="0.25">
      <c r="A27" s="3"/>
      <c r="B27" s="14">
        <v>1487</v>
      </c>
      <c r="C27" s="14">
        <v>504</v>
      </c>
      <c r="D27" s="19">
        <v>710</v>
      </c>
      <c r="E27" s="11">
        <v>121</v>
      </c>
      <c r="F27" s="11">
        <v>2822</v>
      </c>
    </row>
    <row r="28" spans="1:6" x14ac:dyDescent="0.25">
      <c r="A28" s="3"/>
      <c r="B28" s="14">
        <v>1643</v>
      </c>
      <c r="C28" s="14">
        <v>625</v>
      </c>
      <c r="D28" s="19">
        <v>725</v>
      </c>
      <c r="E28" s="11">
        <v>129</v>
      </c>
      <c r="F28" s="11">
        <v>3122</v>
      </c>
    </row>
    <row r="29" spans="1:6" x14ac:dyDescent="0.25">
      <c r="A29" s="3"/>
      <c r="B29" s="14">
        <v>1687</v>
      </c>
      <c r="C29" s="14">
        <v>582</v>
      </c>
      <c r="D29" s="19">
        <v>721</v>
      </c>
      <c r="E29" s="11">
        <v>108</v>
      </c>
      <c r="F29" s="11">
        <v>3098</v>
      </c>
    </row>
    <row r="30" spans="1:6" x14ac:dyDescent="0.25">
      <c r="A30" s="5"/>
      <c r="B30" s="15">
        <v>1587</v>
      </c>
      <c r="C30" s="15">
        <v>487</v>
      </c>
      <c r="D30" s="20">
        <v>681</v>
      </c>
      <c r="E30" s="12">
        <v>100</v>
      </c>
      <c r="F30" s="12">
        <v>2856</v>
      </c>
    </row>
    <row r="31" spans="1:6" x14ac:dyDescent="0.25">
      <c r="A31" s="3">
        <v>2008</v>
      </c>
      <c r="B31" s="13">
        <f>SUM(B32:B35)</f>
        <v>5402</v>
      </c>
      <c r="C31" s="13">
        <f>SUM(C32:C35)</f>
        <v>1992</v>
      </c>
      <c r="D31" s="18">
        <f>SUM(D32:D35)</f>
        <v>2205</v>
      </c>
      <c r="E31" s="10">
        <f>SUM(E32:E35)</f>
        <v>542</v>
      </c>
      <c r="F31" s="10">
        <f>SUM(F32:F35)</f>
        <v>10141</v>
      </c>
    </row>
    <row r="32" spans="1:6" x14ac:dyDescent="0.25">
      <c r="A32" s="3"/>
      <c r="B32" s="14">
        <v>1404</v>
      </c>
      <c r="C32" s="14">
        <v>467</v>
      </c>
      <c r="D32" s="19">
        <v>660</v>
      </c>
      <c r="E32" s="11">
        <v>100</v>
      </c>
      <c r="F32" s="11">
        <v>2631</v>
      </c>
    </row>
    <row r="33" spans="1:6" x14ac:dyDescent="0.25">
      <c r="A33" s="3"/>
      <c r="B33" s="14">
        <v>1532</v>
      </c>
      <c r="C33" s="14">
        <v>582</v>
      </c>
      <c r="D33" s="19">
        <v>656</v>
      </c>
      <c r="E33" s="11">
        <v>136</v>
      </c>
      <c r="F33" s="11">
        <v>2906</v>
      </c>
    </row>
    <row r="34" spans="1:6" x14ac:dyDescent="0.25">
      <c r="A34" s="3"/>
      <c r="B34" s="14">
        <v>1350</v>
      </c>
      <c r="C34" s="14">
        <v>540</v>
      </c>
      <c r="D34" s="19">
        <v>498</v>
      </c>
      <c r="E34" s="11">
        <v>151</v>
      </c>
      <c r="F34" s="11">
        <v>2538</v>
      </c>
    </row>
    <row r="35" spans="1:6" x14ac:dyDescent="0.25">
      <c r="A35" s="5"/>
      <c r="B35" s="15">
        <v>1116</v>
      </c>
      <c r="C35" s="15">
        <v>403</v>
      </c>
      <c r="D35" s="20">
        <v>391</v>
      </c>
      <c r="E35" s="12">
        <v>155</v>
      </c>
      <c r="F35" s="12">
        <v>2066</v>
      </c>
    </row>
    <row r="36" spans="1:6" x14ac:dyDescent="0.25">
      <c r="A36" s="8">
        <v>2009</v>
      </c>
      <c r="B36" s="13">
        <f>SUM(B37:B40)</f>
        <v>3992</v>
      </c>
      <c r="C36" s="13">
        <f>SUM(C37:C40)</f>
        <v>1579</v>
      </c>
      <c r="D36" s="18">
        <f>SUM(D37:D40)</f>
        <v>1594</v>
      </c>
      <c r="E36" s="10">
        <f>SUM(E37:E40)</f>
        <v>448</v>
      </c>
      <c r="F36" s="10">
        <f>SUM(F37:F40)</f>
        <v>7612</v>
      </c>
    </row>
    <row r="37" spans="1:6" x14ac:dyDescent="0.25">
      <c r="A37" s="3"/>
      <c r="B37" s="14">
        <v>981</v>
      </c>
      <c r="C37" s="14">
        <v>327</v>
      </c>
      <c r="D37" s="19">
        <v>381</v>
      </c>
      <c r="E37" s="11">
        <v>135</v>
      </c>
      <c r="F37" s="11">
        <v>1824</v>
      </c>
    </row>
    <row r="38" spans="1:6" x14ac:dyDescent="0.25">
      <c r="A38" s="3"/>
      <c r="B38" s="14">
        <v>1002</v>
      </c>
      <c r="C38" s="14">
        <v>470</v>
      </c>
      <c r="D38" s="19">
        <v>406</v>
      </c>
      <c r="E38" s="11">
        <v>112</v>
      </c>
      <c r="F38" s="11">
        <v>1990</v>
      </c>
    </row>
    <row r="39" spans="1:6" x14ac:dyDescent="0.25">
      <c r="A39" s="3"/>
      <c r="B39" s="14">
        <v>1045</v>
      </c>
      <c r="C39" s="14">
        <v>451</v>
      </c>
      <c r="D39" s="19">
        <v>419</v>
      </c>
      <c r="E39" s="11">
        <v>111</v>
      </c>
      <c r="F39" s="11">
        <v>2025</v>
      </c>
    </row>
    <row r="40" spans="1:6" x14ac:dyDescent="0.25">
      <c r="A40" s="3"/>
      <c r="B40" s="15">
        <v>964</v>
      </c>
      <c r="C40" s="15">
        <v>331</v>
      </c>
      <c r="D40" s="20">
        <v>388</v>
      </c>
      <c r="E40" s="12">
        <v>90</v>
      </c>
      <c r="F40" s="12">
        <v>1773</v>
      </c>
    </row>
    <row r="41" spans="1:6" x14ac:dyDescent="0.25">
      <c r="A41" s="8">
        <v>2010</v>
      </c>
      <c r="B41" s="13">
        <f>SUM(B42:B45)</f>
        <v>4189</v>
      </c>
      <c r="C41" s="13">
        <f>SUM(C42:C45)</f>
        <v>1573</v>
      </c>
      <c r="D41" s="18">
        <f>SUM(D42:D45)</f>
        <v>1777</v>
      </c>
      <c r="E41" s="10">
        <f>SUM(E42:E45)</f>
        <v>287</v>
      </c>
      <c r="F41" s="10">
        <f>SUM(F42:F45)</f>
        <v>7826</v>
      </c>
    </row>
    <row r="42" spans="1:6" x14ac:dyDescent="0.25">
      <c r="A42" s="3"/>
      <c r="B42" s="14">
        <v>957</v>
      </c>
      <c r="C42" s="14">
        <v>325</v>
      </c>
      <c r="D42" s="19">
        <v>414</v>
      </c>
      <c r="E42" s="11">
        <v>70</v>
      </c>
      <c r="F42" s="11">
        <v>1766</v>
      </c>
    </row>
    <row r="43" spans="1:6" x14ac:dyDescent="0.25">
      <c r="A43" s="3"/>
      <c r="B43" s="14">
        <v>1135</v>
      </c>
      <c r="C43" s="14">
        <v>468</v>
      </c>
      <c r="D43" s="19">
        <v>483</v>
      </c>
      <c r="E43" s="11">
        <v>76</v>
      </c>
      <c r="F43" s="11">
        <v>2162</v>
      </c>
    </row>
    <row r="44" spans="1:6" x14ac:dyDescent="0.25">
      <c r="A44" s="3"/>
      <c r="B44" s="14">
        <v>1193</v>
      </c>
      <c r="C44" s="14">
        <v>455</v>
      </c>
      <c r="D44" s="19">
        <v>490</v>
      </c>
      <c r="E44" s="11">
        <v>75</v>
      </c>
      <c r="F44" s="11">
        <v>2213</v>
      </c>
    </row>
    <row r="45" spans="1:6" x14ac:dyDescent="0.25">
      <c r="A45" s="5"/>
      <c r="B45" s="15">
        <v>904</v>
      </c>
      <c r="C45" s="15">
        <v>325</v>
      </c>
      <c r="D45" s="20">
        <v>390</v>
      </c>
      <c r="E45" s="12">
        <v>66</v>
      </c>
      <c r="F45" s="12">
        <v>1685</v>
      </c>
    </row>
    <row r="46" spans="1:6" x14ac:dyDescent="0.25">
      <c r="A46" s="3">
        <v>2011</v>
      </c>
      <c r="B46" s="13">
        <f>SUM(B47:B50)</f>
        <v>4535</v>
      </c>
      <c r="C46" s="13">
        <f>SUM(C47:C50)</f>
        <v>1615</v>
      </c>
      <c r="D46" s="18">
        <f>SUM(D47:D50)</f>
        <v>1937</v>
      </c>
      <c r="E46" s="10">
        <f>SUM(E47:E50)</f>
        <v>313</v>
      </c>
      <c r="F46" s="10">
        <f>SUM(F47:F50)</f>
        <v>8398</v>
      </c>
    </row>
    <row r="47" spans="1:6" x14ac:dyDescent="0.25">
      <c r="A47" s="3"/>
      <c r="B47" s="14">
        <v>1111</v>
      </c>
      <c r="C47" s="14">
        <v>349</v>
      </c>
      <c r="D47" s="19">
        <v>495</v>
      </c>
      <c r="E47" s="11">
        <v>98</v>
      </c>
      <c r="F47" s="11">
        <v>2052</v>
      </c>
    </row>
    <row r="48" spans="1:6" x14ac:dyDescent="0.25">
      <c r="A48" s="3"/>
      <c r="B48" s="14">
        <v>1146</v>
      </c>
      <c r="C48" s="14">
        <v>460</v>
      </c>
      <c r="D48" s="19">
        <v>505</v>
      </c>
      <c r="E48" s="11">
        <v>77</v>
      </c>
      <c r="F48" s="11">
        <v>2188</v>
      </c>
    </row>
    <row r="49" spans="1:6" x14ac:dyDescent="0.25">
      <c r="A49" s="3"/>
      <c r="B49" s="14">
        <v>1200</v>
      </c>
      <c r="C49" s="14">
        <v>447</v>
      </c>
      <c r="D49" s="19">
        <v>503</v>
      </c>
      <c r="E49" s="11">
        <v>74</v>
      </c>
      <c r="F49" s="11">
        <v>2224</v>
      </c>
    </row>
    <row r="50" spans="1:6" x14ac:dyDescent="0.25">
      <c r="A50" s="5"/>
      <c r="B50" s="15">
        <v>1078</v>
      </c>
      <c r="C50" s="15">
        <v>359</v>
      </c>
      <c r="D50" s="20">
        <v>434</v>
      </c>
      <c r="E50" s="12">
        <v>64</v>
      </c>
      <c r="F50" s="12">
        <v>1934</v>
      </c>
    </row>
    <row r="51" spans="1:6" x14ac:dyDescent="0.25">
      <c r="A51" s="3">
        <v>2012</v>
      </c>
      <c r="B51" s="13">
        <f>SUM(B52:B55)</f>
        <v>4250</v>
      </c>
      <c r="C51" s="13">
        <f>SUM(C52:C55)</f>
        <v>1496</v>
      </c>
      <c r="D51" s="18">
        <f>SUM(D52:D55)</f>
        <v>1782</v>
      </c>
      <c r="E51" s="10">
        <f>SUM(E52:E55)</f>
        <v>260</v>
      </c>
      <c r="F51" s="10">
        <f>SUM(F52:F55)</f>
        <v>7787</v>
      </c>
    </row>
    <row r="52" spans="1:6" x14ac:dyDescent="0.25">
      <c r="A52" s="3"/>
      <c r="B52" s="14">
        <v>1040</v>
      </c>
      <c r="C52" s="14">
        <v>345</v>
      </c>
      <c r="D52" s="19">
        <v>497</v>
      </c>
      <c r="E52" s="11">
        <v>62</v>
      </c>
      <c r="F52" s="11">
        <v>1944</v>
      </c>
    </row>
    <row r="53" spans="1:6" x14ac:dyDescent="0.25">
      <c r="A53" s="3"/>
      <c r="B53" s="14">
        <v>1067</v>
      </c>
      <c r="C53" s="14">
        <v>405</v>
      </c>
      <c r="D53" s="19">
        <v>451</v>
      </c>
      <c r="E53" s="11">
        <v>64</v>
      </c>
      <c r="F53" s="11">
        <v>1986</v>
      </c>
    </row>
    <row r="54" spans="1:6" x14ac:dyDescent="0.25">
      <c r="A54" s="3"/>
      <c r="B54" s="14">
        <v>1121</v>
      </c>
      <c r="C54" s="14">
        <v>413</v>
      </c>
      <c r="D54" s="19">
        <v>428</v>
      </c>
      <c r="E54" s="11">
        <v>69</v>
      </c>
      <c r="F54" s="11">
        <v>2031</v>
      </c>
    </row>
    <row r="55" spans="1:6" x14ac:dyDescent="0.25">
      <c r="A55" s="3"/>
      <c r="B55" s="15">
        <v>1022</v>
      </c>
      <c r="C55" s="15">
        <v>333</v>
      </c>
      <c r="D55" s="20">
        <v>406</v>
      </c>
      <c r="E55" s="12">
        <v>65</v>
      </c>
      <c r="F55" s="12">
        <v>1826</v>
      </c>
    </row>
    <row r="56" spans="1:6" x14ac:dyDescent="0.25">
      <c r="A56" s="9">
        <v>2013</v>
      </c>
      <c r="B56" s="16">
        <v>4680</v>
      </c>
      <c r="C56" s="16">
        <v>1519</v>
      </c>
      <c r="D56" s="22">
        <v>1761</v>
      </c>
      <c r="E56" s="23">
        <v>360</v>
      </c>
      <c r="F56" s="23">
        <v>8321</v>
      </c>
    </row>
    <row r="59" spans="1:6" x14ac:dyDescent="0.25">
      <c r="A59" t="s">
        <v>7</v>
      </c>
    </row>
    <row r="60" spans="1:6" x14ac:dyDescent="0.25">
      <c r="A60" t="s">
        <v>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opLeftCell="A16" workbookViewId="0">
      <selection activeCell="O79" sqref="O79"/>
    </sheetView>
  </sheetViews>
  <sheetFormatPr defaultRowHeight="15" x14ac:dyDescent="0.25"/>
  <cols>
    <col min="1" max="14" width="12.85546875" customWidth="1"/>
    <col min="15" max="15" width="16" customWidth="1"/>
  </cols>
  <sheetData>
    <row r="1" spans="1:13" x14ac:dyDescent="0.25">
      <c r="A1" s="1" t="s">
        <v>0</v>
      </c>
    </row>
    <row r="3" spans="1:13" x14ac:dyDescent="0.25">
      <c r="A3" s="1" t="s">
        <v>10</v>
      </c>
    </row>
    <row r="5" spans="1:13" ht="45" x14ac:dyDescent="0.25">
      <c r="A5" s="24" t="s">
        <v>2</v>
      </c>
      <c r="B5" s="24" t="s">
        <v>11</v>
      </c>
      <c r="C5" s="24" t="s">
        <v>12</v>
      </c>
      <c r="D5" s="24" t="s">
        <v>13</v>
      </c>
      <c r="E5" s="24" t="s">
        <v>14</v>
      </c>
      <c r="F5" s="24" t="s">
        <v>15</v>
      </c>
      <c r="G5" s="24" t="s">
        <v>16</v>
      </c>
      <c r="H5" s="24" t="s">
        <v>17</v>
      </c>
      <c r="I5" s="24" t="s">
        <v>18</v>
      </c>
      <c r="J5" s="24" t="s">
        <v>19</v>
      </c>
      <c r="K5" s="24" t="s">
        <v>20</v>
      </c>
      <c r="L5" s="17" t="s">
        <v>21</v>
      </c>
      <c r="M5" s="24" t="s">
        <v>22</v>
      </c>
    </row>
    <row r="6" spans="1:13" x14ac:dyDescent="0.25">
      <c r="A6" s="27">
        <v>2001</v>
      </c>
      <c r="B6" s="35">
        <f t="shared" ref="B6:G6" si="0">SUM(B7:B10)</f>
        <v>1181</v>
      </c>
      <c r="C6" s="35">
        <f t="shared" si="0"/>
        <v>2761</v>
      </c>
      <c r="D6" s="35">
        <f t="shared" si="0"/>
        <v>1385</v>
      </c>
      <c r="E6" s="35">
        <f t="shared" si="0"/>
        <v>1166</v>
      </c>
      <c r="F6" s="35">
        <f t="shared" si="0"/>
        <v>1184</v>
      </c>
      <c r="G6" s="35">
        <f t="shared" si="0"/>
        <v>1047</v>
      </c>
      <c r="H6" s="34"/>
      <c r="I6" s="34"/>
      <c r="J6" s="34"/>
      <c r="K6" s="35">
        <f>SUM(K7:K10)</f>
        <v>2593</v>
      </c>
      <c r="L6" s="35">
        <f>SUM(L7:L10)</f>
        <v>520</v>
      </c>
      <c r="M6" s="35">
        <f>SUM(M7:M10)</f>
        <v>11838</v>
      </c>
    </row>
    <row r="7" spans="1:13" x14ac:dyDescent="0.25">
      <c r="A7" s="28"/>
      <c r="B7" s="29">
        <v>282</v>
      </c>
      <c r="C7" s="29">
        <v>643</v>
      </c>
      <c r="D7" s="29">
        <v>324</v>
      </c>
      <c r="E7" s="29">
        <v>274</v>
      </c>
      <c r="F7" s="29">
        <v>271</v>
      </c>
      <c r="G7" s="29">
        <v>260</v>
      </c>
      <c r="H7" s="29"/>
      <c r="I7" s="29"/>
      <c r="J7" s="29"/>
      <c r="K7" s="29">
        <v>618</v>
      </c>
      <c r="L7" s="29">
        <v>123</v>
      </c>
      <c r="M7" s="29">
        <v>2795</v>
      </c>
    </row>
    <row r="8" spans="1:13" x14ac:dyDescent="0.25">
      <c r="A8" s="28"/>
      <c r="B8" s="29">
        <v>313</v>
      </c>
      <c r="C8" s="29">
        <v>723</v>
      </c>
      <c r="D8" s="29">
        <v>357</v>
      </c>
      <c r="E8" s="29">
        <v>298</v>
      </c>
      <c r="F8" s="29">
        <v>310</v>
      </c>
      <c r="G8" s="29">
        <v>276</v>
      </c>
      <c r="H8" s="29"/>
      <c r="I8" s="29"/>
      <c r="J8" s="29"/>
      <c r="K8" s="29">
        <v>689</v>
      </c>
      <c r="L8" s="29">
        <v>136</v>
      </c>
      <c r="M8" s="29">
        <v>3102</v>
      </c>
    </row>
    <row r="9" spans="1:13" x14ac:dyDescent="0.25">
      <c r="A9" s="28"/>
      <c r="B9" s="29">
        <v>313</v>
      </c>
      <c r="C9" s="29">
        <v>719</v>
      </c>
      <c r="D9" s="29">
        <v>372</v>
      </c>
      <c r="E9" s="29">
        <v>304</v>
      </c>
      <c r="F9" s="29">
        <v>319</v>
      </c>
      <c r="G9" s="29">
        <v>270</v>
      </c>
      <c r="H9" s="29"/>
      <c r="I9" s="29"/>
      <c r="J9" s="29"/>
      <c r="K9" s="29">
        <v>670</v>
      </c>
      <c r="L9" s="29">
        <v>133</v>
      </c>
      <c r="M9" s="29">
        <v>3101</v>
      </c>
    </row>
    <row r="10" spans="1:13" x14ac:dyDescent="0.25">
      <c r="A10" s="30"/>
      <c r="B10" s="31">
        <v>273</v>
      </c>
      <c r="C10" s="31">
        <v>676</v>
      </c>
      <c r="D10" s="31">
        <v>332</v>
      </c>
      <c r="E10" s="31">
        <v>290</v>
      </c>
      <c r="F10" s="31">
        <v>284</v>
      </c>
      <c r="G10" s="31">
        <v>241</v>
      </c>
      <c r="H10" s="31"/>
      <c r="I10" s="31"/>
      <c r="J10" s="31"/>
      <c r="K10" s="31">
        <v>616</v>
      </c>
      <c r="L10" s="31">
        <v>128</v>
      </c>
      <c r="M10" s="31">
        <v>2840</v>
      </c>
    </row>
    <row r="11" spans="1:13" x14ac:dyDescent="0.25">
      <c r="A11" s="27">
        <v>2002</v>
      </c>
      <c r="B11" s="33">
        <f t="shared" ref="B11:G11" si="1">SUM(B12:B15)</f>
        <v>1012</v>
      </c>
      <c r="C11" s="33">
        <f t="shared" si="1"/>
        <v>2779</v>
      </c>
      <c r="D11" s="33">
        <f t="shared" si="1"/>
        <v>1405</v>
      </c>
      <c r="E11" s="33">
        <f t="shared" si="1"/>
        <v>1214</v>
      </c>
      <c r="F11" s="33">
        <f t="shared" si="1"/>
        <v>1199</v>
      </c>
      <c r="G11" s="33">
        <f t="shared" si="1"/>
        <v>1058</v>
      </c>
      <c r="H11" s="33"/>
      <c r="I11" s="33"/>
      <c r="J11" s="33"/>
      <c r="K11" s="33">
        <f>SUM(K12:K15)</f>
        <v>2551</v>
      </c>
      <c r="L11" s="33">
        <f>SUM(L12:L15)</f>
        <v>509</v>
      </c>
      <c r="M11" s="33">
        <f>SUM(M12:M15)</f>
        <v>11728</v>
      </c>
    </row>
    <row r="12" spans="1:13" x14ac:dyDescent="0.25">
      <c r="A12" s="28"/>
      <c r="B12" s="29">
        <v>250</v>
      </c>
      <c r="C12" s="29">
        <v>673</v>
      </c>
      <c r="D12" s="29">
        <v>346</v>
      </c>
      <c r="E12" s="29">
        <v>298</v>
      </c>
      <c r="F12" s="29">
        <v>275</v>
      </c>
      <c r="G12" s="29">
        <v>258</v>
      </c>
      <c r="H12" s="29"/>
      <c r="I12" s="29"/>
      <c r="J12" s="29"/>
      <c r="K12" s="29">
        <v>616</v>
      </c>
      <c r="L12" s="29">
        <v>122</v>
      </c>
      <c r="M12" s="29">
        <v>2840</v>
      </c>
    </row>
    <row r="13" spans="1:13" x14ac:dyDescent="0.25">
      <c r="A13" s="28"/>
      <c r="B13" s="29">
        <v>269</v>
      </c>
      <c r="C13" s="29">
        <v>715</v>
      </c>
      <c r="D13" s="29">
        <v>370</v>
      </c>
      <c r="E13" s="29">
        <v>324</v>
      </c>
      <c r="F13" s="29">
        <v>300</v>
      </c>
      <c r="G13" s="29">
        <v>281</v>
      </c>
      <c r="H13" s="29"/>
      <c r="I13" s="29"/>
      <c r="J13" s="29"/>
      <c r="K13" s="29">
        <v>663</v>
      </c>
      <c r="L13" s="29">
        <v>135</v>
      </c>
      <c r="M13" s="29">
        <v>3057</v>
      </c>
    </row>
    <row r="14" spans="1:13" x14ac:dyDescent="0.25">
      <c r="A14" s="28"/>
      <c r="B14" s="29">
        <v>263</v>
      </c>
      <c r="C14" s="29">
        <v>747</v>
      </c>
      <c r="D14" s="29">
        <v>375</v>
      </c>
      <c r="E14" s="29">
        <v>319</v>
      </c>
      <c r="F14" s="29">
        <v>335</v>
      </c>
      <c r="G14" s="29">
        <v>278</v>
      </c>
      <c r="H14" s="29"/>
      <c r="I14" s="29"/>
      <c r="J14" s="29"/>
      <c r="K14" s="29">
        <v>672</v>
      </c>
      <c r="L14" s="29">
        <v>138</v>
      </c>
      <c r="M14" s="29">
        <v>3127</v>
      </c>
    </row>
    <row r="15" spans="1:13" x14ac:dyDescent="0.25">
      <c r="A15" s="30"/>
      <c r="B15" s="31">
        <v>230</v>
      </c>
      <c r="C15" s="31">
        <v>644</v>
      </c>
      <c r="D15" s="31">
        <v>314</v>
      </c>
      <c r="E15" s="31">
        <v>273</v>
      </c>
      <c r="F15" s="31">
        <v>289</v>
      </c>
      <c r="G15" s="31">
        <v>241</v>
      </c>
      <c r="H15" s="31"/>
      <c r="I15" s="31"/>
      <c r="J15" s="31"/>
      <c r="K15" s="31">
        <v>600</v>
      </c>
      <c r="L15" s="31">
        <v>114</v>
      </c>
      <c r="M15" s="31">
        <v>2704</v>
      </c>
    </row>
    <row r="16" spans="1:13" x14ac:dyDescent="0.25">
      <c r="A16" s="27">
        <v>2003</v>
      </c>
      <c r="B16" s="33">
        <f t="shared" ref="B16:G16" si="2">SUM(B17:B20)</f>
        <v>987</v>
      </c>
      <c r="C16" s="33">
        <f t="shared" si="2"/>
        <v>2749</v>
      </c>
      <c r="D16" s="33">
        <f t="shared" si="2"/>
        <v>1307</v>
      </c>
      <c r="E16" s="33">
        <f t="shared" si="2"/>
        <v>1252</v>
      </c>
      <c r="F16" s="33">
        <f t="shared" si="2"/>
        <v>1140</v>
      </c>
      <c r="G16" s="33">
        <f t="shared" si="2"/>
        <v>1108</v>
      </c>
      <c r="H16" s="33"/>
      <c r="I16" s="33"/>
      <c r="J16" s="33"/>
      <c r="K16" s="33">
        <f>SUM(K17:K20)</f>
        <v>2575</v>
      </c>
      <c r="L16" s="33">
        <f>SUM(L17:L20)</f>
        <v>536</v>
      </c>
      <c r="M16" s="33">
        <f>SUM(M17:M20)</f>
        <v>11656</v>
      </c>
    </row>
    <row r="17" spans="1:13" x14ac:dyDescent="0.25">
      <c r="A17" s="28"/>
      <c r="B17" s="29">
        <v>259</v>
      </c>
      <c r="C17" s="29">
        <v>654</v>
      </c>
      <c r="D17" s="29">
        <v>324</v>
      </c>
      <c r="E17" s="29">
        <v>311</v>
      </c>
      <c r="F17" s="29">
        <v>267</v>
      </c>
      <c r="G17" s="29">
        <v>259</v>
      </c>
      <c r="H17" s="29"/>
      <c r="I17" s="29"/>
      <c r="J17" s="29"/>
      <c r="K17" s="29">
        <v>642</v>
      </c>
      <c r="L17" s="29">
        <v>130</v>
      </c>
      <c r="M17" s="29">
        <v>2847</v>
      </c>
    </row>
    <row r="18" spans="1:13" x14ac:dyDescent="0.25">
      <c r="A18" s="28"/>
      <c r="B18" s="29">
        <v>251</v>
      </c>
      <c r="C18" s="29">
        <v>734</v>
      </c>
      <c r="D18" s="29">
        <v>348</v>
      </c>
      <c r="E18" s="29">
        <v>326</v>
      </c>
      <c r="F18" s="29">
        <v>319</v>
      </c>
      <c r="G18" s="29">
        <v>285</v>
      </c>
      <c r="H18" s="29"/>
      <c r="I18" s="29"/>
      <c r="J18" s="29"/>
      <c r="K18" s="29">
        <v>675</v>
      </c>
      <c r="L18" s="29">
        <v>138</v>
      </c>
      <c r="M18" s="29">
        <v>3077</v>
      </c>
    </row>
    <row r="19" spans="1:13" x14ac:dyDescent="0.25">
      <c r="A19" s="28"/>
      <c r="B19" s="29">
        <v>248</v>
      </c>
      <c r="C19" s="29">
        <v>742</v>
      </c>
      <c r="D19" s="29">
        <v>338</v>
      </c>
      <c r="E19" s="29">
        <v>321</v>
      </c>
      <c r="F19" s="29">
        <v>300</v>
      </c>
      <c r="G19" s="29">
        <v>301</v>
      </c>
      <c r="H19" s="29"/>
      <c r="I19" s="29"/>
      <c r="J19" s="29"/>
      <c r="K19" s="29">
        <v>667</v>
      </c>
      <c r="L19" s="29">
        <v>141</v>
      </c>
      <c r="M19" s="29">
        <v>3057</v>
      </c>
    </row>
    <row r="20" spans="1:13" x14ac:dyDescent="0.25">
      <c r="A20" s="30"/>
      <c r="B20" s="31">
        <v>229</v>
      </c>
      <c r="C20" s="31">
        <v>619</v>
      </c>
      <c r="D20" s="31">
        <v>297</v>
      </c>
      <c r="E20" s="31">
        <v>294</v>
      </c>
      <c r="F20" s="31">
        <v>254</v>
      </c>
      <c r="G20" s="31">
        <v>263</v>
      </c>
      <c r="H20" s="31"/>
      <c r="I20" s="31"/>
      <c r="J20" s="31"/>
      <c r="K20" s="31">
        <v>591</v>
      </c>
      <c r="L20" s="31">
        <v>127</v>
      </c>
      <c r="M20" s="31">
        <v>2675</v>
      </c>
    </row>
    <row r="21" spans="1:13" x14ac:dyDescent="0.25">
      <c r="A21" s="27">
        <v>2004</v>
      </c>
      <c r="B21" s="33">
        <f t="shared" ref="B21:G21" si="3">SUM(B22:B25)</f>
        <v>1016</v>
      </c>
      <c r="C21" s="33">
        <f t="shared" si="3"/>
        <v>2660</v>
      </c>
      <c r="D21" s="33">
        <f t="shared" si="3"/>
        <v>1232</v>
      </c>
      <c r="E21" s="33">
        <f t="shared" si="3"/>
        <v>1255</v>
      </c>
      <c r="F21" s="33">
        <f t="shared" si="3"/>
        <v>1114</v>
      </c>
      <c r="G21" s="33">
        <f t="shared" si="3"/>
        <v>1220</v>
      </c>
      <c r="H21" s="33"/>
      <c r="I21" s="33"/>
      <c r="J21" s="33"/>
      <c r="K21" s="33">
        <f>SUM(K22:K25)</f>
        <v>2632</v>
      </c>
      <c r="L21" s="33">
        <f>SUM(L22:L25)</f>
        <v>548</v>
      </c>
      <c r="M21" s="33">
        <f>SUM(M22:M25)</f>
        <v>11676</v>
      </c>
    </row>
    <row r="22" spans="1:13" x14ac:dyDescent="0.25">
      <c r="A22" s="28"/>
      <c r="B22" s="29">
        <v>249</v>
      </c>
      <c r="C22" s="29">
        <v>652</v>
      </c>
      <c r="D22" s="29">
        <v>301</v>
      </c>
      <c r="E22" s="29">
        <v>307</v>
      </c>
      <c r="F22" s="29">
        <v>270</v>
      </c>
      <c r="G22" s="29">
        <v>281</v>
      </c>
      <c r="H22" s="29"/>
      <c r="I22" s="29"/>
      <c r="J22" s="29"/>
      <c r="K22" s="29">
        <v>625</v>
      </c>
      <c r="L22" s="29">
        <v>131</v>
      </c>
      <c r="M22" s="29">
        <v>2816</v>
      </c>
    </row>
    <row r="23" spans="1:13" x14ac:dyDescent="0.25">
      <c r="A23" s="28"/>
      <c r="B23" s="29">
        <v>267</v>
      </c>
      <c r="C23" s="29">
        <v>687</v>
      </c>
      <c r="D23" s="29">
        <v>331</v>
      </c>
      <c r="E23" s="29">
        <v>324</v>
      </c>
      <c r="F23" s="29">
        <v>284</v>
      </c>
      <c r="G23" s="29">
        <v>311</v>
      </c>
      <c r="H23" s="29"/>
      <c r="I23" s="29"/>
      <c r="J23" s="29"/>
      <c r="K23" s="29">
        <v>695</v>
      </c>
      <c r="L23" s="29">
        <v>148</v>
      </c>
      <c r="M23" s="29">
        <v>3048</v>
      </c>
    </row>
    <row r="24" spans="1:13" x14ac:dyDescent="0.25">
      <c r="A24" s="28"/>
      <c r="B24" s="29">
        <v>264</v>
      </c>
      <c r="C24" s="29">
        <v>705</v>
      </c>
      <c r="D24" s="29">
        <v>312</v>
      </c>
      <c r="E24" s="29">
        <v>324</v>
      </c>
      <c r="F24" s="29">
        <v>298</v>
      </c>
      <c r="G24" s="29">
        <v>320</v>
      </c>
      <c r="H24" s="29"/>
      <c r="I24" s="29"/>
      <c r="J24" s="29"/>
      <c r="K24" s="29">
        <v>679</v>
      </c>
      <c r="L24" s="29">
        <v>146</v>
      </c>
      <c r="M24" s="29">
        <v>3048</v>
      </c>
    </row>
    <row r="25" spans="1:13" x14ac:dyDescent="0.25">
      <c r="A25" s="30"/>
      <c r="B25" s="31">
        <v>236</v>
      </c>
      <c r="C25" s="31">
        <v>616</v>
      </c>
      <c r="D25" s="31">
        <v>288</v>
      </c>
      <c r="E25" s="31">
        <v>300</v>
      </c>
      <c r="F25" s="31">
        <v>262</v>
      </c>
      <c r="G25" s="31">
        <v>308</v>
      </c>
      <c r="H25" s="31"/>
      <c r="I25" s="31"/>
      <c r="J25" s="31"/>
      <c r="K25" s="31">
        <v>633</v>
      </c>
      <c r="L25" s="31">
        <v>123</v>
      </c>
      <c r="M25" s="31">
        <v>2764</v>
      </c>
    </row>
    <row r="26" spans="1:13" x14ac:dyDescent="0.25">
      <c r="A26" s="27">
        <v>2005</v>
      </c>
      <c r="B26" s="33">
        <f t="shared" ref="B26:G26" si="4">SUM(B27:B30)</f>
        <v>948</v>
      </c>
      <c r="C26" s="33">
        <f t="shared" si="4"/>
        <v>2476</v>
      </c>
      <c r="D26" s="33">
        <f t="shared" si="4"/>
        <v>1205</v>
      </c>
      <c r="E26" s="33">
        <f t="shared" si="4"/>
        <v>1298</v>
      </c>
      <c r="F26" s="33">
        <f t="shared" si="4"/>
        <v>1073</v>
      </c>
      <c r="G26" s="33">
        <f t="shared" si="4"/>
        <v>1167</v>
      </c>
      <c r="H26" s="33"/>
      <c r="I26" s="33"/>
      <c r="J26" s="33"/>
      <c r="K26" s="33">
        <f>SUM(K27:K30)</f>
        <v>2639</v>
      </c>
      <c r="L26" s="33">
        <f>SUM(L27:L30)</f>
        <v>502</v>
      </c>
      <c r="M26" s="33">
        <f>SUM(M27:M30)</f>
        <v>11307</v>
      </c>
    </row>
    <row r="27" spans="1:13" x14ac:dyDescent="0.25">
      <c r="A27" s="28"/>
      <c r="B27" s="29">
        <v>225</v>
      </c>
      <c r="C27" s="29">
        <v>578</v>
      </c>
      <c r="D27" s="29">
        <v>292</v>
      </c>
      <c r="E27" s="29">
        <v>306</v>
      </c>
      <c r="F27" s="29">
        <v>275</v>
      </c>
      <c r="G27" s="29">
        <v>274</v>
      </c>
      <c r="H27" s="29"/>
      <c r="I27" s="29"/>
      <c r="J27" s="29"/>
      <c r="K27" s="29">
        <v>593</v>
      </c>
      <c r="L27" s="29">
        <v>117</v>
      </c>
      <c r="M27" s="29">
        <v>2659</v>
      </c>
    </row>
    <row r="28" spans="1:13" x14ac:dyDescent="0.25">
      <c r="A28" s="28"/>
      <c r="B28" s="29">
        <v>254</v>
      </c>
      <c r="C28" s="29">
        <v>660</v>
      </c>
      <c r="D28" s="29">
        <v>331</v>
      </c>
      <c r="E28" s="29">
        <v>344</v>
      </c>
      <c r="F28" s="29">
        <v>293</v>
      </c>
      <c r="G28" s="29">
        <v>324</v>
      </c>
      <c r="H28" s="29"/>
      <c r="I28" s="29"/>
      <c r="J28" s="29"/>
      <c r="K28" s="29">
        <v>716</v>
      </c>
      <c r="L28" s="29">
        <v>134</v>
      </c>
      <c r="M28" s="29">
        <v>3056</v>
      </c>
    </row>
    <row r="29" spans="1:13" x14ac:dyDescent="0.25">
      <c r="A29" s="28"/>
      <c r="B29" s="29">
        <v>250</v>
      </c>
      <c r="C29" s="29">
        <v>660</v>
      </c>
      <c r="D29" s="29">
        <v>312</v>
      </c>
      <c r="E29" s="29">
        <v>340</v>
      </c>
      <c r="F29" s="29">
        <v>270</v>
      </c>
      <c r="G29" s="29">
        <v>312</v>
      </c>
      <c r="H29" s="29"/>
      <c r="I29" s="29"/>
      <c r="J29" s="29"/>
      <c r="K29" s="29">
        <v>715</v>
      </c>
      <c r="L29" s="29">
        <v>139</v>
      </c>
      <c r="M29" s="29">
        <v>2997</v>
      </c>
    </row>
    <row r="30" spans="1:13" x14ac:dyDescent="0.25">
      <c r="A30" s="30"/>
      <c r="B30" s="31">
        <v>219</v>
      </c>
      <c r="C30" s="31">
        <v>578</v>
      </c>
      <c r="D30" s="31">
        <v>270</v>
      </c>
      <c r="E30" s="31">
        <v>308</v>
      </c>
      <c r="F30" s="31">
        <v>235</v>
      </c>
      <c r="G30" s="31">
        <v>257</v>
      </c>
      <c r="H30" s="31"/>
      <c r="I30" s="31"/>
      <c r="J30" s="31"/>
      <c r="K30" s="31">
        <v>615</v>
      </c>
      <c r="L30" s="31">
        <v>112</v>
      </c>
      <c r="M30" s="31">
        <v>2595</v>
      </c>
    </row>
    <row r="31" spans="1:13" x14ac:dyDescent="0.25">
      <c r="A31" s="27">
        <v>2006</v>
      </c>
      <c r="B31" s="33">
        <f t="shared" ref="B31:J31" si="5">SUM(B32:B35)</f>
        <v>956</v>
      </c>
      <c r="C31" s="33">
        <f t="shared" si="5"/>
        <v>2535</v>
      </c>
      <c r="D31" s="33">
        <f t="shared" si="5"/>
        <v>1197</v>
      </c>
      <c r="E31" s="33">
        <f t="shared" si="5"/>
        <v>1303</v>
      </c>
      <c r="F31" s="33">
        <f t="shared" si="5"/>
        <v>1029</v>
      </c>
      <c r="G31" s="33">
        <f t="shared" si="5"/>
        <v>1152</v>
      </c>
      <c r="H31" s="33">
        <f t="shared" si="5"/>
        <v>1125</v>
      </c>
      <c r="I31" s="33">
        <f t="shared" si="5"/>
        <v>433</v>
      </c>
      <c r="J31" s="33">
        <f t="shared" si="5"/>
        <v>1102</v>
      </c>
      <c r="K31" s="33"/>
      <c r="L31" s="33">
        <f>SUM(L32:L35)</f>
        <v>496</v>
      </c>
      <c r="M31" s="33">
        <f>SUM(M32:M35)</f>
        <v>11324</v>
      </c>
    </row>
    <row r="32" spans="1:13" x14ac:dyDescent="0.25">
      <c r="A32" s="28"/>
      <c r="B32" s="29">
        <v>242</v>
      </c>
      <c r="C32" s="29">
        <v>643</v>
      </c>
      <c r="D32" s="29">
        <v>300</v>
      </c>
      <c r="E32" s="29">
        <v>315</v>
      </c>
      <c r="F32" s="29">
        <v>266</v>
      </c>
      <c r="G32" s="29">
        <v>272</v>
      </c>
      <c r="H32" s="29">
        <v>285</v>
      </c>
      <c r="I32" s="29">
        <v>101</v>
      </c>
      <c r="J32" s="29">
        <v>283</v>
      </c>
      <c r="K32" s="29" t="s">
        <v>23</v>
      </c>
      <c r="L32" s="29">
        <v>124</v>
      </c>
      <c r="M32" s="29">
        <v>2830</v>
      </c>
    </row>
    <row r="33" spans="1:13" x14ac:dyDescent="0.25">
      <c r="A33" s="28"/>
      <c r="B33" s="29">
        <v>236</v>
      </c>
      <c r="C33" s="29">
        <v>622</v>
      </c>
      <c r="D33" s="29">
        <v>297</v>
      </c>
      <c r="E33" s="29">
        <v>339</v>
      </c>
      <c r="F33" s="29">
        <v>260</v>
      </c>
      <c r="G33" s="29">
        <v>293</v>
      </c>
      <c r="H33" s="29">
        <v>280</v>
      </c>
      <c r="I33" s="29">
        <v>115</v>
      </c>
      <c r="J33" s="29">
        <v>269</v>
      </c>
      <c r="K33" s="29"/>
      <c r="L33" s="29">
        <v>129</v>
      </c>
      <c r="M33" s="29">
        <v>2839</v>
      </c>
    </row>
    <row r="34" spans="1:13" x14ac:dyDescent="0.25">
      <c r="A34" s="28"/>
      <c r="B34" s="29">
        <v>244</v>
      </c>
      <c r="C34" s="29">
        <v>646</v>
      </c>
      <c r="D34" s="29">
        <v>299</v>
      </c>
      <c r="E34" s="29">
        <v>338</v>
      </c>
      <c r="F34" s="29">
        <v>255</v>
      </c>
      <c r="G34" s="29">
        <v>302</v>
      </c>
      <c r="H34" s="29">
        <v>294</v>
      </c>
      <c r="I34" s="29">
        <v>116</v>
      </c>
      <c r="J34" s="29">
        <v>285</v>
      </c>
      <c r="K34" s="29"/>
      <c r="L34" s="29">
        <v>130</v>
      </c>
      <c r="M34" s="29">
        <v>2908</v>
      </c>
    </row>
    <row r="35" spans="1:13" x14ac:dyDescent="0.25">
      <c r="A35" s="30"/>
      <c r="B35" s="31">
        <v>234</v>
      </c>
      <c r="C35" s="31">
        <v>624</v>
      </c>
      <c r="D35" s="31">
        <v>301</v>
      </c>
      <c r="E35" s="31">
        <v>311</v>
      </c>
      <c r="F35" s="31">
        <v>248</v>
      </c>
      <c r="G35" s="31">
        <v>285</v>
      </c>
      <c r="H35" s="31">
        <v>266</v>
      </c>
      <c r="I35" s="31">
        <v>101</v>
      </c>
      <c r="J35" s="31">
        <v>265</v>
      </c>
      <c r="K35" s="31"/>
      <c r="L35" s="31">
        <v>113</v>
      </c>
      <c r="M35" s="31">
        <v>2747</v>
      </c>
    </row>
    <row r="36" spans="1:13" x14ac:dyDescent="0.25">
      <c r="A36" s="27">
        <v>2007</v>
      </c>
      <c r="B36" s="33">
        <f t="shared" ref="B36:J36" si="6">SUM(B37:B40)</f>
        <v>993</v>
      </c>
      <c r="C36" s="33">
        <f t="shared" si="6"/>
        <v>2636</v>
      </c>
      <c r="D36" s="33">
        <f t="shared" si="6"/>
        <v>1248</v>
      </c>
      <c r="E36" s="33">
        <f t="shared" si="6"/>
        <v>1283</v>
      </c>
      <c r="F36" s="33">
        <f t="shared" si="6"/>
        <v>1111</v>
      </c>
      <c r="G36" s="33">
        <f t="shared" si="6"/>
        <v>1211</v>
      </c>
      <c r="H36" s="33">
        <f t="shared" si="6"/>
        <v>1177</v>
      </c>
      <c r="I36" s="33">
        <f t="shared" si="6"/>
        <v>414</v>
      </c>
      <c r="J36" s="33">
        <f t="shared" si="6"/>
        <v>1262</v>
      </c>
      <c r="K36" s="33"/>
      <c r="L36" s="33">
        <f>SUM(L37:L40)</f>
        <v>565</v>
      </c>
      <c r="M36" s="33">
        <f>SUM(M37:M40)</f>
        <v>11897</v>
      </c>
    </row>
    <row r="37" spans="1:13" x14ac:dyDescent="0.25">
      <c r="A37" s="28"/>
      <c r="B37" s="29">
        <v>234</v>
      </c>
      <c r="C37" s="29">
        <v>643</v>
      </c>
      <c r="D37" s="29">
        <v>296</v>
      </c>
      <c r="E37" s="29">
        <v>320</v>
      </c>
      <c r="F37" s="29">
        <v>266</v>
      </c>
      <c r="G37" s="29">
        <v>278</v>
      </c>
      <c r="H37" s="29">
        <v>289</v>
      </c>
      <c r="I37" s="29">
        <v>99</v>
      </c>
      <c r="J37" s="29">
        <v>279</v>
      </c>
      <c r="K37" s="29"/>
      <c r="L37" s="29">
        <v>118</v>
      </c>
      <c r="M37" s="29">
        <v>2822</v>
      </c>
    </row>
    <row r="38" spans="1:13" x14ac:dyDescent="0.25">
      <c r="A38" s="28"/>
      <c r="B38" s="29">
        <v>242</v>
      </c>
      <c r="C38" s="29">
        <v>696</v>
      </c>
      <c r="D38" s="29">
        <v>329</v>
      </c>
      <c r="E38" s="29">
        <v>335</v>
      </c>
      <c r="F38" s="29">
        <v>299</v>
      </c>
      <c r="G38" s="29">
        <v>312</v>
      </c>
      <c r="H38" s="29">
        <v>312</v>
      </c>
      <c r="I38" s="29">
        <v>111</v>
      </c>
      <c r="J38" s="29">
        <v>344</v>
      </c>
      <c r="K38" s="29"/>
      <c r="L38" s="29">
        <v>142</v>
      </c>
      <c r="M38" s="29">
        <v>3121</v>
      </c>
    </row>
    <row r="39" spans="1:13" x14ac:dyDescent="0.25">
      <c r="A39" s="28"/>
      <c r="B39" s="29">
        <v>268</v>
      </c>
      <c r="C39" s="29">
        <v>669</v>
      </c>
      <c r="D39" s="29">
        <v>323</v>
      </c>
      <c r="E39" s="29">
        <v>326</v>
      </c>
      <c r="F39" s="29">
        <v>286</v>
      </c>
      <c r="G39" s="29">
        <v>320</v>
      </c>
      <c r="H39" s="29">
        <v>304</v>
      </c>
      <c r="I39" s="29">
        <v>108</v>
      </c>
      <c r="J39" s="29">
        <v>339</v>
      </c>
      <c r="K39" s="29"/>
      <c r="L39" s="29">
        <v>156</v>
      </c>
      <c r="M39" s="29">
        <v>3098</v>
      </c>
    </row>
    <row r="40" spans="1:13" x14ac:dyDescent="0.25">
      <c r="A40" s="30"/>
      <c r="B40" s="31">
        <v>249</v>
      </c>
      <c r="C40" s="31">
        <v>628</v>
      </c>
      <c r="D40" s="31">
        <v>300</v>
      </c>
      <c r="E40" s="31">
        <v>302</v>
      </c>
      <c r="F40" s="31">
        <v>260</v>
      </c>
      <c r="G40" s="31">
        <v>301</v>
      </c>
      <c r="H40" s="31">
        <v>272</v>
      </c>
      <c r="I40" s="31">
        <v>96</v>
      </c>
      <c r="J40" s="31">
        <v>300</v>
      </c>
      <c r="K40" s="31"/>
      <c r="L40" s="31">
        <v>149</v>
      </c>
      <c r="M40" s="31">
        <v>2856</v>
      </c>
    </row>
    <row r="41" spans="1:13" x14ac:dyDescent="0.25">
      <c r="A41" s="27">
        <v>2008</v>
      </c>
      <c r="B41" s="33">
        <f t="shared" ref="B41:J41" si="7">SUM(B42:B45)</f>
        <v>851</v>
      </c>
      <c r="C41" s="33">
        <f t="shared" si="7"/>
        <v>2449</v>
      </c>
      <c r="D41" s="33">
        <f t="shared" si="7"/>
        <v>1054</v>
      </c>
      <c r="E41" s="33">
        <f t="shared" si="7"/>
        <v>1044</v>
      </c>
      <c r="F41" s="33">
        <f t="shared" si="7"/>
        <v>929</v>
      </c>
      <c r="G41" s="33">
        <f t="shared" si="7"/>
        <v>942</v>
      </c>
      <c r="H41" s="33">
        <f t="shared" si="7"/>
        <v>958</v>
      </c>
      <c r="I41" s="33">
        <f t="shared" si="7"/>
        <v>363</v>
      </c>
      <c r="J41" s="33">
        <f t="shared" si="7"/>
        <v>1075</v>
      </c>
      <c r="K41" s="33"/>
      <c r="L41" s="33">
        <f>SUM(L42:L45)</f>
        <v>476</v>
      </c>
      <c r="M41" s="33">
        <f>SUM(M42:M45)</f>
        <v>10141</v>
      </c>
    </row>
    <row r="42" spans="1:13" x14ac:dyDescent="0.25">
      <c r="A42" s="28"/>
      <c r="B42" s="29">
        <v>226</v>
      </c>
      <c r="C42" s="29">
        <v>607</v>
      </c>
      <c r="D42" s="29">
        <v>281</v>
      </c>
      <c r="E42" s="29">
        <v>288</v>
      </c>
      <c r="F42" s="29">
        <v>243</v>
      </c>
      <c r="G42" s="29">
        <v>258</v>
      </c>
      <c r="H42" s="29">
        <v>250</v>
      </c>
      <c r="I42" s="29">
        <v>92</v>
      </c>
      <c r="J42" s="29">
        <v>263</v>
      </c>
      <c r="K42" s="29"/>
      <c r="L42" s="29">
        <v>123</v>
      </c>
      <c r="M42" s="29">
        <v>2631</v>
      </c>
    </row>
    <row r="43" spans="1:13" x14ac:dyDescent="0.25">
      <c r="A43" s="28"/>
      <c r="B43" s="29">
        <v>248</v>
      </c>
      <c r="C43" s="29">
        <v>681</v>
      </c>
      <c r="D43" s="29">
        <v>302</v>
      </c>
      <c r="E43" s="29">
        <v>305</v>
      </c>
      <c r="F43" s="29">
        <v>266</v>
      </c>
      <c r="G43" s="29">
        <v>270</v>
      </c>
      <c r="H43" s="29">
        <v>271</v>
      </c>
      <c r="I43" s="29">
        <v>101</v>
      </c>
      <c r="J43" s="29">
        <v>324</v>
      </c>
      <c r="K43" s="29"/>
      <c r="L43" s="29">
        <v>139</v>
      </c>
      <c r="M43" s="29">
        <v>2906</v>
      </c>
    </row>
    <row r="44" spans="1:13" x14ac:dyDescent="0.25">
      <c r="A44" s="28"/>
      <c r="B44" s="29">
        <v>209</v>
      </c>
      <c r="C44" s="29">
        <v>623</v>
      </c>
      <c r="D44" s="29">
        <v>262</v>
      </c>
      <c r="E44" s="29">
        <v>252</v>
      </c>
      <c r="F44" s="29">
        <v>232</v>
      </c>
      <c r="G44" s="29">
        <v>233</v>
      </c>
      <c r="H44" s="29">
        <v>238</v>
      </c>
      <c r="I44" s="29">
        <v>93</v>
      </c>
      <c r="J44" s="29">
        <v>280</v>
      </c>
      <c r="K44" s="29"/>
      <c r="L44" s="29">
        <v>115</v>
      </c>
      <c r="M44" s="29">
        <v>2538</v>
      </c>
    </row>
    <row r="45" spans="1:13" x14ac:dyDescent="0.25">
      <c r="A45" s="30"/>
      <c r="B45" s="31">
        <v>168</v>
      </c>
      <c r="C45" s="31">
        <v>538</v>
      </c>
      <c r="D45" s="31">
        <v>209</v>
      </c>
      <c r="E45" s="31">
        <v>199</v>
      </c>
      <c r="F45" s="31">
        <v>188</v>
      </c>
      <c r="G45" s="31">
        <v>181</v>
      </c>
      <c r="H45" s="31">
        <v>199</v>
      </c>
      <c r="I45" s="31">
        <v>77</v>
      </c>
      <c r="J45" s="31">
        <v>208</v>
      </c>
      <c r="K45" s="31"/>
      <c r="L45" s="31">
        <v>99</v>
      </c>
      <c r="M45" s="31">
        <v>2066</v>
      </c>
    </row>
    <row r="46" spans="1:13" x14ac:dyDescent="0.25">
      <c r="A46" s="27">
        <v>2009</v>
      </c>
      <c r="B46" s="33">
        <f t="shared" ref="B46:J46" si="8">SUM(B47:B50)</f>
        <v>639</v>
      </c>
      <c r="C46" s="33">
        <f t="shared" si="8"/>
        <v>1943</v>
      </c>
      <c r="D46" s="33">
        <f t="shared" si="8"/>
        <v>798</v>
      </c>
      <c r="E46" s="33">
        <f t="shared" si="8"/>
        <v>833</v>
      </c>
      <c r="F46" s="33">
        <f t="shared" si="8"/>
        <v>667</v>
      </c>
      <c r="G46" s="33">
        <f t="shared" si="8"/>
        <v>616</v>
      </c>
      <c r="H46" s="33">
        <f t="shared" si="8"/>
        <v>716</v>
      </c>
      <c r="I46" s="33">
        <f t="shared" si="8"/>
        <v>284</v>
      </c>
      <c r="J46" s="33">
        <f t="shared" si="8"/>
        <v>737</v>
      </c>
      <c r="K46" s="33"/>
      <c r="L46" s="33">
        <f>SUM(L47:L50)</f>
        <v>350</v>
      </c>
      <c r="M46" s="33">
        <f>SUM(M47:M50)</f>
        <v>7582</v>
      </c>
    </row>
    <row r="47" spans="1:13" x14ac:dyDescent="0.25">
      <c r="A47" s="28"/>
      <c r="B47" s="29">
        <v>149</v>
      </c>
      <c r="C47" s="29">
        <v>476</v>
      </c>
      <c r="D47" s="29">
        <v>188</v>
      </c>
      <c r="E47" s="29">
        <v>193</v>
      </c>
      <c r="F47" s="29">
        <v>164</v>
      </c>
      <c r="G47" s="29">
        <v>139</v>
      </c>
      <c r="H47" s="29">
        <v>181</v>
      </c>
      <c r="I47" s="29">
        <v>76</v>
      </c>
      <c r="J47" s="29">
        <v>177</v>
      </c>
      <c r="K47" s="29"/>
      <c r="L47" s="29">
        <v>80</v>
      </c>
      <c r="M47" s="29">
        <v>1824</v>
      </c>
    </row>
    <row r="48" spans="1:13" x14ac:dyDescent="0.25">
      <c r="A48" s="28"/>
      <c r="B48" s="29">
        <v>168</v>
      </c>
      <c r="C48" s="29">
        <v>508</v>
      </c>
      <c r="D48" s="29">
        <v>214</v>
      </c>
      <c r="E48" s="29">
        <v>223</v>
      </c>
      <c r="F48" s="29">
        <v>174</v>
      </c>
      <c r="G48" s="29">
        <v>153</v>
      </c>
      <c r="H48" s="29">
        <v>189</v>
      </c>
      <c r="I48" s="29">
        <v>72</v>
      </c>
      <c r="J48" s="29">
        <v>196</v>
      </c>
      <c r="K48" s="29"/>
      <c r="L48" s="29">
        <v>94</v>
      </c>
      <c r="M48" s="29">
        <v>1990</v>
      </c>
    </row>
    <row r="49" spans="1:13" x14ac:dyDescent="0.25">
      <c r="A49" s="28"/>
      <c r="B49" s="29">
        <v>171</v>
      </c>
      <c r="C49" s="29">
        <v>525</v>
      </c>
      <c r="D49" s="29">
        <v>207</v>
      </c>
      <c r="E49" s="29">
        <v>224</v>
      </c>
      <c r="F49" s="29">
        <v>179</v>
      </c>
      <c r="G49" s="29">
        <v>173</v>
      </c>
      <c r="H49" s="29">
        <v>184</v>
      </c>
      <c r="I49" s="29">
        <v>71</v>
      </c>
      <c r="J49" s="29">
        <v>198</v>
      </c>
      <c r="K49" s="29"/>
      <c r="L49" s="29">
        <v>93</v>
      </c>
      <c r="M49" s="29">
        <v>2025</v>
      </c>
    </row>
    <row r="50" spans="1:13" x14ac:dyDescent="0.25">
      <c r="A50" s="30"/>
      <c r="B50" s="31">
        <v>151</v>
      </c>
      <c r="C50" s="31">
        <v>434</v>
      </c>
      <c r="D50" s="31">
        <v>189</v>
      </c>
      <c r="E50" s="31">
        <v>193</v>
      </c>
      <c r="F50" s="31">
        <v>150</v>
      </c>
      <c r="G50" s="31">
        <v>151</v>
      </c>
      <c r="H50" s="31">
        <v>162</v>
      </c>
      <c r="I50" s="31">
        <v>65</v>
      </c>
      <c r="J50" s="31">
        <v>166</v>
      </c>
      <c r="K50" s="31"/>
      <c r="L50" s="31">
        <v>83</v>
      </c>
      <c r="M50" s="31">
        <v>1743</v>
      </c>
    </row>
    <row r="51" spans="1:13" x14ac:dyDescent="0.25">
      <c r="A51" s="27">
        <v>2010</v>
      </c>
      <c r="B51" s="33">
        <f t="shared" ref="B51:J51" si="9">SUM(B52:B55)</f>
        <v>647</v>
      </c>
      <c r="C51" s="33">
        <f t="shared" si="9"/>
        <v>1951</v>
      </c>
      <c r="D51" s="33">
        <f t="shared" si="9"/>
        <v>851</v>
      </c>
      <c r="E51" s="33">
        <f t="shared" si="9"/>
        <v>849</v>
      </c>
      <c r="F51" s="33">
        <f t="shared" si="9"/>
        <v>719</v>
      </c>
      <c r="G51" s="33">
        <f t="shared" si="9"/>
        <v>671</v>
      </c>
      <c r="H51" s="33">
        <f t="shared" si="9"/>
        <v>714</v>
      </c>
      <c r="I51" s="33">
        <f t="shared" si="9"/>
        <v>294</v>
      </c>
      <c r="J51" s="33">
        <f t="shared" si="9"/>
        <v>772</v>
      </c>
      <c r="K51" s="33"/>
      <c r="L51" s="33">
        <f>SUM(L52:L55)</f>
        <v>356</v>
      </c>
      <c r="M51" s="33">
        <f>SUM(M52:M55)</f>
        <v>7826</v>
      </c>
    </row>
    <row r="52" spans="1:13" x14ac:dyDescent="0.25">
      <c r="A52" s="28"/>
      <c r="B52" s="29">
        <v>144</v>
      </c>
      <c r="C52" s="29">
        <v>443</v>
      </c>
      <c r="D52" s="29">
        <v>186</v>
      </c>
      <c r="E52" s="29">
        <v>185</v>
      </c>
      <c r="F52" s="29">
        <v>168</v>
      </c>
      <c r="G52" s="29">
        <v>153</v>
      </c>
      <c r="H52" s="29">
        <v>174</v>
      </c>
      <c r="I52" s="29">
        <v>69</v>
      </c>
      <c r="J52" s="29">
        <v>162</v>
      </c>
      <c r="K52" s="29"/>
      <c r="L52" s="29">
        <v>82</v>
      </c>
      <c r="M52" s="29">
        <v>1766</v>
      </c>
    </row>
    <row r="53" spans="1:13" x14ac:dyDescent="0.25">
      <c r="A53" s="28"/>
      <c r="B53" s="29">
        <v>176</v>
      </c>
      <c r="C53" s="29">
        <v>519</v>
      </c>
      <c r="D53" s="29">
        <v>233</v>
      </c>
      <c r="E53" s="29">
        <v>238</v>
      </c>
      <c r="F53" s="29">
        <v>199</v>
      </c>
      <c r="G53" s="29">
        <v>183</v>
      </c>
      <c r="H53" s="29">
        <v>198</v>
      </c>
      <c r="I53" s="29">
        <v>88</v>
      </c>
      <c r="J53" s="29">
        <v>221</v>
      </c>
      <c r="K53" s="29"/>
      <c r="L53" s="29">
        <v>105</v>
      </c>
      <c r="M53" s="29">
        <v>2162</v>
      </c>
    </row>
    <row r="54" spans="1:13" x14ac:dyDescent="0.25">
      <c r="A54" s="28"/>
      <c r="B54" s="29">
        <v>183</v>
      </c>
      <c r="C54" s="29">
        <v>542</v>
      </c>
      <c r="D54" s="29">
        <v>241</v>
      </c>
      <c r="E54" s="29">
        <v>250</v>
      </c>
      <c r="F54" s="29">
        <v>201</v>
      </c>
      <c r="G54" s="29">
        <v>197</v>
      </c>
      <c r="H54" s="29">
        <v>198</v>
      </c>
      <c r="I54" s="29">
        <v>83</v>
      </c>
      <c r="J54" s="29">
        <v>222</v>
      </c>
      <c r="K54" s="29"/>
      <c r="L54" s="29">
        <v>96</v>
      </c>
      <c r="M54" s="29">
        <v>2213</v>
      </c>
    </row>
    <row r="55" spans="1:13" x14ac:dyDescent="0.25">
      <c r="A55" s="30"/>
      <c r="B55" s="31">
        <v>144</v>
      </c>
      <c r="C55" s="31">
        <v>447</v>
      </c>
      <c r="D55" s="31">
        <v>191</v>
      </c>
      <c r="E55" s="31">
        <v>176</v>
      </c>
      <c r="F55" s="31">
        <v>151</v>
      </c>
      <c r="G55" s="31">
        <v>138</v>
      </c>
      <c r="H55" s="31">
        <v>144</v>
      </c>
      <c r="I55" s="31">
        <v>54</v>
      </c>
      <c r="J55" s="31">
        <v>167</v>
      </c>
      <c r="K55" s="31"/>
      <c r="L55" s="31">
        <v>73</v>
      </c>
      <c r="M55" s="31">
        <v>1685</v>
      </c>
    </row>
    <row r="56" spans="1:13" x14ac:dyDescent="0.25">
      <c r="A56" s="27">
        <v>2011</v>
      </c>
      <c r="B56" s="33">
        <f t="shared" ref="B56:J56" si="10">SUM(B57:B60)</f>
        <v>697</v>
      </c>
      <c r="C56" s="33">
        <f t="shared" si="10"/>
        <v>2205</v>
      </c>
      <c r="D56" s="33">
        <f t="shared" si="10"/>
        <v>929</v>
      </c>
      <c r="E56" s="33">
        <f t="shared" si="10"/>
        <v>830</v>
      </c>
      <c r="F56" s="33">
        <f t="shared" si="10"/>
        <v>771</v>
      </c>
      <c r="G56" s="33">
        <f t="shared" si="10"/>
        <v>719</v>
      </c>
      <c r="H56" s="33">
        <f t="shared" si="10"/>
        <v>732</v>
      </c>
      <c r="I56" s="33">
        <f t="shared" si="10"/>
        <v>278</v>
      </c>
      <c r="J56" s="33">
        <f t="shared" si="10"/>
        <v>892</v>
      </c>
      <c r="K56" s="33"/>
      <c r="L56" s="33">
        <f>SUM(L57:L60)</f>
        <v>346</v>
      </c>
      <c r="M56" s="33">
        <f>SUM(M57:M60)</f>
        <v>8398</v>
      </c>
    </row>
    <row r="57" spans="1:13" x14ac:dyDescent="0.25">
      <c r="A57" s="28"/>
      <c r="B57" s="29">
        <v>176</v>
      </c>
      <c r="C57" s="29">
        <v>526</v>
      </c>
      <c r="D57" s="29">
        <v>236</v>
      </c>
      <c r="E57" s="29">
        <v>218</v>
      </c>
      <c r="F57" s="29">
        <v>183</v>
      </c>
      <c r="G57" s="29">
        <v>176</v>
      </c>
      <c r="H57" s="29">
        <v>182</v>
      </c>
      <c r="I57" s="29">
        <v>64</v>
      </c>
      <c r="J57" s="29">
        <v>209</v>
      </c>
      <c r="K57" s="29"/>
      <c r="L57" s="29">
        <v>83</v>
      </c>
      <c r="M57" s="29">
        <v>2052</v>
      </c>
    </row>
    <row r="58" spans="1:13" x14ac:dyDescent="0.25">
      <c r="A58" s="28"/>
      <c r="B58" s="29">
        <v>182</v>
      </c>
      <c r="C58" s="29">
        <v>558</v>
      </c>
      <c r="D58" s="29">
        <v>230</v>
      </c>
      <c r="E58" s="29">
        <v>213</v>
      </c>
      <c r="F58" s="29">
        <v>199</v>
      </c>
      <c r="G58" s="29">
        <v>193</v>
      </c>
      <c r="H58" s="29">
        <v>204</v>
      </c>
      <c r="I58" s="29">
        <v>75</v>
      </c>
      <c r="J58" s="29">
        <v>247</v>
      </c>
      <c r="K58" s="29"/>
      <c r="L58" s="29">
        <v>88</v>
      </c>
      <c r="M58" s="29">
        <v>2188</v>
      </c>
    </row>
    <row r="59" spans="1:13" x14ac:dyDescent="0.25">
      <c r="A59" s="28"/>
      <c r="B59" s="29">
        <v>184</v>
      </c>
      <c r="C59" s="29">
        <v>585</v>
      </c>
      <c r="D59" s="29">
        <v>243</v>
      </c>
      <c r="E59" s="29">
        <v>217</v>
      </c>
      <c r="F59" s="29">
        <v>210</v>
      </c>
      <c r="G59" s="29">
        <v>191</v>
      </c>
      <c r="H59" s="29">
        <v>187</v>
      </c>
      <c r="I59" s="29">
        <v>76</v>
      </c>
      <c r="J59" s="29">
        <v>240</v>
      </c>
      <c r="K59" s="29"/>
      <c r="L59" s="29">
        <v>90</v>
      </c>
      <c r="M59" s="29">
        <v>2224</v>
      </c>
    </row>
    <row r="60" spans="1:13" x14ac:dyDescent="0.25">
      <c r="A60" s="30"/>
      <c r="B60" s="31">
        <v>155</v>
      </c>
      <c r="C60" s="31">
        <v>536</v>
      </c>
      <c r="D60" s="31">
        <v>220</v>
      </c>
      <c r="E60" s="31">
        <v>182</v>
      </c>
      <c r="F60" s="31">
        <v>179</v>
      </c>
      <c r="G60" s="31">
        <v>159</v>
      </c>
      <c r="H60" s="31">
        <v>159</v>
      </c>
      <c r="I60" s="31">
        <v>63</v>
      </c>
      <c r="J60" s="31">
        <v>196</v>
      </c>
      <c r="K60" s="31"/>
      <c r="L60" s="31">
        <v>85</v>
      </c>
      <c r="M60" s="31">
        <v>1934</v>
      </c>
    </row>
    <row r="61" spans="1:13" x14ac:dyDescent="0.25">
      <c r="A61" s="27">
        <v>2012</v>
      </c>
      <c r="B61" s="35">
        <f t="shared" ref="B61:J61" si="11">SUM(B62:B65)</f>
        <v>660</v>
      </c>
      <c r="C61" s="33">
        <f t="shared" si="11"/>
        <v>2070</v>
      </c>
      <c r="D61" s="33">
        <f t="shared" si="11"/>
        <v>858</v>
      </c>
      <c r="E61" s="33">
        <f t="shared" si="11"/>
        <v>763</v>
      </c>
      <c r="F61" s="33">
        <f t="shared" si="11"/>
        <v>741</v>
      </c>
      <c r="G61" s="33">
        <f t="shared" si="11"/>
        <v>622</v>
      </c>
      <c r="H61" s="33">
        <f t="shared" si="11"/>
        <v>654</v>
      </c>
      <c r="I61" s="33">
        <f t="shared" si="11"/>
        <v>291</v>
      </c>
      <c r="J61" s="33">
        <f t="shared" si="11"/>
        <v>779</v>
      </c>
      <c r="K61" s="33"/>
      <c r="L61" s="33">
        <f>SUM(L62:L65)</f>
        <v>349</v>
      </c>
      <c r="M61" s="33">
        <f>SUM(M62:M65)</f>
        <v>7787</v>
      </c>
    </row>
    <row r="62" spans="1:13" x14ac:dyDescent="0.25">
      <c r="A62" s="28"/>
      <c r="B62" s="29">
        <v>171</v>
      </c>
      <c r="C62" s="29">
        <v>529</v>
      </c>
      <c r="D62" s="29">
        <v>222</v>
      </c>
      <c r="E62" s="29">
        <v>185</v>
      </c>
      <c r="F62" s="29">
        <v>186</v>
      </c>
      <c r="G62" s="29">
        <v>157</v>
      </c>
      <c r="H62" s="29">
        <v>165</v>
      </c>
      <c r="I62" s="29">
        <v>66</v>
      </c>
      <c r="J62" s="29">
        <v>180</v>
      </c>
      <c r="K62" s="29"/>
      <c r="L62" s="29">
        <v>82</v>
      </c>
      <c r="M62" s="29">
        <v>1944</v>
      </c>
    </row>
    <row r="63" spans="1:13" x14ac:dyDescent="0.25">
      <c r="A63" s="28"/>
      <c r="B63" s="29">
        <v>163</v>
      </c>
      <c r="C63" s="29">
        <v>534</v>
      </c>
      <c r="D63" s="29">
        <v>215</v>
      </c>
      <c r="E63" s="29">
        <v>196</v>
      </c>
      <c r="F63" s="29">
        <v>192</v>
      </c>
      <c r="G63" s="29">
        <v>156</v>
      </c>
      <c r="H63" s="29">
        <v>165</v>
      </c>
      <c r="I63" s="29">
        <v>74</v>
      </c>
      <c r="J63" s="29">
        <v>204</v>
      </c>
      <c r="K63" s="29"/>
      <c r="L63" s="29">
        <v>87</v>
      </c>
      <c r="M63" s="29">
        <v>1986</v>
      </c>
    </row>
    <row r="64" spans="1:13" x14ac:dyDescent="0.25">
      <c r="A64" s="28"/>
      <c r="B64" s="29">
        <v>166</v>
      </c>
      <c r="C64" s="29">
        <v>524</v>
      </c>
      <c r="D64" s="29">
        <v>227</v>
      </c>
      <c r="E64" s="29">
        <v>204</v>
      </c>
      <c r="F64" s="29">
        <v>191</v>
      </c>
      <c r="G64" s="29">
        <v>164</v>
      </c>
      <c r="H64" s="29">
        <v>171</v>
      </c>
      <c r="I64" s="29">
        <v>76</v>
      </c>
      <c r="J64" s="29">
        <v>215</v>
      </c>
      <c r="K64" s="29"/>
      <c r="L64" s="29">
        <v>93</v>
      </c>
      <c r="M64" s="29">
        <v>2031</v>
      </c>
    </row>
    <row r="65" spans="1:14" x14ac:dyDescent="0.25">
      <c r="A65" s="30"/>
      <c r="B65" s="31">
        <v>160</v>
      </c>
      <c r="C65" s="31">
        <v>483</v>
      </c>
      <c r="D65" s="31">
        <v>194</v>
      </c>
      <c r="E65" s="31">
        <v>178</v>
      </c>
      <c r="F65" s="31">
        <v>172</v>
      </c>
      <c r="G65" s="31">
        <v>145</v>
      </c>
      <c r="H65" s="31">
        <v>153</v>
      </c>
      <c r="I65" s="31">
        <v>75</v>
      </c>
      <c r="J65" s="31">
        <v>180</v>
      </c>
      <c r="K65" s="31"/>
      <c r="L65" s="31">
        <v>87</v>
      </c>
      <c r="M65" s="31">
        <v>1826</v>
      </c>
    </row>
    <row r="66" spans="1:14" x14ac:dyDescent="0.25">
      <c r="A66" s="17">
        <v>2013</v>
      </c>
      <c r="B66" s="32">
        <v>673</v>
      </c>
      <c r="C66" s="32">
        <v>2214</v>
      </c>
      <c r="D66" s="32">
        <v>905</v>
      </c>
      <c r="E66" s="32">
        <v>805</v>
      </c>
      <c r="F66" s="32">
        <v>793</v>
      </c>
      <c r="G66" s="32">
        <v>716</v>
      </c>
      <c r="H66" s="32">
        <v>740</v>
      </c>
      <c r="I66" s="32">
        <v>294</v>
      </c>
      <c r="J66" s="32">
        <v>842</v>
      </c>
      <c r="K66" s="32"/>
      <c r="L66" s="32">
        <v>341</v>
      </c>
      <c r="M66" s="32">
        <v>8321</v>
      </c>
    </row>
    <row r="68" spans="1:14" x14ac:dyDescent="0.25">
      <c r="A68" t="s">
        <v>10</v>
      </c>
    </row>
    <row r="70" spans="1:14" ht="45" x14ac:dyDescent="0.25">
      <c r="A70" s="24" t="s">
        <v>2</v>
      </c>
      <c r="B70" s="24" t="s">
        <v>11</v>
      </c>
      <c r="C70" s="24" t="s">
        <v>12</v>
      </c>
      <c r="D70" s="24" t="s">
        <v>13</v>
      </c>
      <c r="E70" s="24" t="s">
        <v>14</v>
      </c>
      <c r="F70" s="24" t="s">
        <v>15</v>
      </c>
      <c r="G70" s="24" t="s">
        <v>16</v>
      </c>
      <c r="H70" s="24" t="s">
        <v>17</v>
      </c>
      <c r="I70" s="24" t="s">
        <v>18</v>
      </c>
      <c r="J70" s="24" t="s">
        <v>24</v>
      </c>
      <c r="K70" s="24" t="s">
        <v>19</v>
      </c>
      <c r="L70" s="24" t="s">
        <v>20</v>
      </c>
      <c r="M70" s="24" t="s">
        <v>21</v>
      </c>
      <c r="N70" s="24" t="s">
        <v>22</v>
      </c>
    </row>
    <row r="71" spans="1:14" x14ac:dyDescent="0.25">
      <c r="A71" s="17">
        <v>2001</v>
      </c>
      <c r="B71" s="26">
        <f>1181*1000</f>
        <v>1181000</v>
      </c>
      <c r="C71" s="26">
        <f>2761*1000</f>
        <v>2761000</v>
      </c>
      <c r="D71" s="26">
        <f>1385*1000</f>
        <v>1385000</v>
      </c>
      <c r="E71" s="26">
        <f>1166*1000</f>
        <v>1166000</v>
      </c>
      <c r="F71" s="26">
        <f>1184*1000</f>
        <v>1184000</v>
      </c>
      <c r="G71" s="26">
        <f>1047*1000</f>
        <v>1047000</v>
      </c>
      <c r="H71" s="26"/>
      <c r="I71" s="26"/>
      <c r="J71" s="26"/>
      <c r="K71" s="26"/>
      <c r="L71" s="26">
        <f>2593*1000</f>
        <v>2593000</v>
      </c>
      <c r="M71" s="32">
        <f>520*1000</f>
        <v>520000</v>
      </c>
      <c r="N71" s="32">
        <f>11838*1000</f>
        <v>11838000</v>
      </c>
    </row>
    <row r="72" spans="1:14" x14ac:dyDescent="0.25">
      <c r="A72" s="17">
        <v>2002</v>
      </c>
      <c r="B72" s="26">
        <f>1012*1000</f>
        <v>1012000</v>
      </c>
      <c r="C72" s="26">
        <f>2779*1000</f>
        <v>2779000</v>
      </c>
      <c r="D72" s="26">
        <f>1405*1000</f>
        <v>1405000</v>
      </c>
      <c r="E72" s="26">
        <f>1214*1000</f>
        <v>1214000</v>
      </c>
      <c r="F72" s="26">
        <f>1199*1000</f>
        <v>1199000</v>
      </c>
      <c r="G72" s="26">
        <f>1058*1000</f>
        <v>1058000</v>
      </c>
      <c r="H72" s="26"/>
      <c r="I72" s="26"/>
      <c r="J72" s="26"/>
      <c r="K72" s="26"/>
      <c r="L72" s="26">
        <f>2551*1000</f>
        <v>2551000</v>
      </c>
      <c r="M72" s="32">
        <f>509*1000</f>
        <v>509000</v>
      </c>
      <c r="N72" s="32">
        <f>11728*1000</f>
        <v>11728000</v>
      </c>
    </row>
    <row r="73" spans="1:14" x14ac:dyDescent="0.25">
      <c r="A73" s="17">
        <v>2003</v>
      </c>
      <c r="B73" s="26">
        <f>987*1000</f>
        <v>987000</v>
      </c>
      <c r="C73" s="26">
        <f>2749*1000</f>
        <v>2749000</v>
      </c>
      <c r="D73" s="26">
        <f>1307*1000</f>
        <v>1307000</v>
      </c>
      <c r="E73" s="26">
        <f>1252*1000</f>
        <v>1252000</v>
      </c>
      <c r="F73" s="26">
        <f>1140*1000</f>
        <v>1140000</v>
      </c>
      <c r="G73" s="26">
        <f>1108*1000</f>
        <v>1108000</v>
      </c>
      <c r="H73" s="26"/>
      <c r="I73" s="26"/>
      <c r="J73" s="26"/>
      <c r="K73" s="26"/>
      <c r="L73" s="26">
        <f>2575*1000</f>
        <v>2575000</v>
      </c>
      <c r="M73" s="32">
        <f>536*1000</f>
        <v>536000</v>
      </c>
      <c r="N73" s="32">
        <f>11656*1000</f>
        <v>11656000</v>
      </c>
    </row>
    <row r="74" spans="1:14" x14ac:dyDescent="0.25">
      <c r="A74" s="17">
        <v>2004</v>
      </c>
      <c r="B74" s="26">
        <f>1016*1000</f>
        <v>1016000</v>
      </c>
      <c r="C74" s="26">
        <f>2660*1000</f>
        <v>2660000</v>
      </c>
      <c r="D74" s="26">
        <f>1232*1000</f>
        <v>1232000</v>
      </c>
      <c r="E74" s="26">
        <f>1255*1000</f>
        <v>1255000</v>
      </c>
      <c r="F74" s="26">
        <f>1114*1000</f>
        <v>1114000</v>
      </c>
      <c r="G74" s="26">
        <f>1220*1000</f>
        <v>1220000</v>
      </c>
      <c r="H74" s="26"/>
      <c r="I74" s="26"/>
      <c r="J74" s="26"/>
      <c r="K74" s="26"/>
      <c r="L74" s="26">
        <f>2632*1000</f>
        <v>2632000</v>
      </c>
      <c r="M74" s="32">
        <f>548*1000</f>
        <v>548000</v>
      </c>
      <c r="N74" s="32">
        <f>11676*1000</f>
        <v>11676000</v>
      </c>
    </row>
    <row r="75" spans="1:14" x14ac:dyDescent="0.25">
      <c r="A75" s="17">
        <v>2005</v>
      </c>
      <c r="B75" s="26">
        <f>948*1000</f>
        <v>948000</v>
      </c>
      <c r="C75" s="26">
        <f>2476*1000</f>
        <v>2476000</v>
      </c>
      <c r="D75" s="26">
        <f>1205*1000</f>
        <v>1205000</v>
      </c>
      <c r="E75" s="26">
        <f>1298*1000</f>
        <v>1298000</v>
      </c>
      <c r="F75" s="26">
        <f>1073*1000</f>
        <v>1073000</v>
      </c>
      <c r="G75" s="26">
        <f>1167*1000</f>
        <v>1167000</v>
      </c>
      <c r="H75" s="26"/>
      <c r="I75" s="26"/>
      <c r="J75" s="26"/>
      <c r="K75" s="26"/>
      <c r="L75" s="26">
        <f>2639*1000</f>
        <v>2639000</v>
      </c>
      <c r="M75" s="32">
        <f>502*1000</f>
        <v>502000</v>
      </c>
      <c r="N75" s="32">
        <f>11307*1000</f>
        <v>11307000</v>
      </c>
    </row>
    <row r="76" spans="1:14" x14ac:dyDescent="0.25">
      <c r="A76" s="17">
        <v>2006</v>
      </c>
      <c r="B76" s="26">
        <f>956*1000</f>
        <v>956000</v>
      </c>
      <c r="C76" s="26">
        <f>2535*1000</f>
        <v>2535000</v>
      </c>
      <c r="D76" s="26">
        <f>1197*1000</f>
        <v>1197000</v>
      </c>
      <c r="E76" s="26">
        <f>1303*1000</f>
        <v>1303000</v>
      </c>
      <c r="F76" s="26">
        <f>1029*1000</f>
        <v>1029000</v>
      </c>
      <c r="G76" s="26">
        <f>1152*1000</f>
        <v>1152000</v>
      </c>
      <c r="H76" s="26">
        <f>1125*1000</f>
        <v>1125000</v>
      </c>
      <c r="I76" s="26">
        <f>433*1000</f>
        <v>433000</v>
      </c>
      <c r="J76" s="32">
        <f t="shared" ref="J76:J83" si="12">SUM(B76:I76)</f>
        <v>9730000</v>
      </c>
      <c r="K76" s="32">
        <f>1102*1000</f>
        <v>1102000</v>
      </c>
      <c r="L76" s="26"/>
      <c r="M76" s="32">
        <f>496*1000</f>
        <v>496000</v>
      </c>
      <c r="N76" s="32">
        <f>11324*1000</f>
        <v>11324000</v>
      </c>
    </row>
    <row r="77" spans="1:14" x14ac:dyDescent="0.25">
      <c r="A77" s="17">
        <v>2007</v>
      </c>
      <c r="B77" s="26">
        <f>993*1000</f>
        <v>993000</v>
      </c>
      <c r="C77" s="26">
        <f>2636*1000</f>
        <v>2636000</v>
      </c>
      <c r="D77" s="26">
        <f>1248*1000</f>
        <v>1248000</v>
      </c>
      <c r="E77" s="26">
        <f>1283*1000</f>
        <v>1283000</v>
      </c>
      <c r="F77" s="26">
        <f>1111*1000</f>
        <v>1111000</v>
      </c>
      <c r="G77" s="26">
        <f>1211*1000</f>
        <v>1211000</v>
      </c>
      <c r="H77" s="26">
        <f>1177*1000</f>
        <v>1177000</v>
      </c>
      <c r="I77" s="26">
        <f>414*1000</f>
        <v>414000</v>
      </c>
      <c r="J77" s="32">
        <f t="shared" si="12"/>
        <v>10073000</v>
      </c>
      <c r="K77" s="32">
        <f>1262*1000</f>
        <v>1262000</v>
      </c>
      <c r="L77" s="26"/>
      <c r="M77" s="32">
        <f>565*1000</f>
        <v>565000</v>
      </c>
      <c r="N77" s="32">
        <f>11897*1000</f>
        <v>11897000</v>
      </c>
    </row>
    <row r="78" spans="1:14" x14ac:dyDescent="0.25">
      <c r="A78" s="17">
        <v>2008</v>
      </c>
      <c r="B78" s="26">
        <f>851*1000</f>
        <v>851000</v>
      </c>
      <c r="C78" s="26">
        <f>2449*1000</f>
        <v>2449000</v>
      </c>
      <c r="D78" s="26">
        <f>1054*1000</f>
        <v>1054000</v>
      </c>
      <c r="E78" s="26">
        <f>1044*1000</f>
        <v>1044000</v>
      </c>
      <c r="F78" s="26">
        <f>929*1000</f>
        <v>929000</v>
      </c>
      <c r="G78" s="26">
        <f>942*1000</f>
        <v>942000</v>
      </c>
      <c r="H78" s="26">
        <f>958*1000</f>
        <v>958000</v>
      </c>
      <c r="I78" s="26">
        <f>363*1000</f>
        <v>363000</v>
      </c>
      <c r="J78" s="32">
        <f t="shared" si="12"/>
        <v>8590000</v>
      </c>
      <c r="K78" s="32">
        <f>1075*1000</f>
        <v>1075000</v>
      </c>
      <c r="L78" s="26"/>
      <c r="M78" s="32">
        <f>476*1000</f>
        <v>476000</v>
      </c>
      <c r="N78" s="32">
        <f>10141*1000</f>
        <v>10141000</v>
      </c>
    </row>
    <row r="79" spans="1:14" x14ac:dyDescent="0.25">
      <c r="A79" s="17">
        <v>2009</v>
      </c>
      <c r="B79" s="26">
        <f>639*1000</f>
        <v>639000</v>
      </c>
      <c r="C79" s="26">
        <f>1943*1000</f>
        <v>1943000</v>
      </c>
      <c r="D79" s="26">
        <f>798*1000</f>
        <v>798000</v>
      </c>
      <c r="E79" s="26">
        <f>833*1000</f>
        <v>833000</v>
      </c>
      <c r="F79" s="26">
        <f>667*1000</f>
        <v>667000</v>
      </c>
      <c r="G79" s="26">
        <f>616*1000</f>
        <v>616000</v>
      </c>
      <c r="H79" s="26">
        <f>716*1000</f>
        <v>716000</v>
      </c>
      <c r="I79" s="26">
        <f>284*1000</f>
        <v>284000</v>
      </c>
      <c r="J79" s="32">
        <f t="shared" si="12"/>
        <v>6496000</v>
      </c>
      <c r="K79" s="32">
        <f>737*1000</f>
        <v>737000</v>
      </c>
      <c r="L79" s="26"/>
      <c r="M79" s="32">
        <f>350*1000</f>
        <v>350000</v>
      </c>
      <c r="N79" s="32">
        <f>7582*1000</f>
        <v>7582000</v>
      </c>
    </row>
    <row r="80" spans="1:14" x14ac:dyDescent="0.25">
      <c r="A80" s="17">
        <v>2010</v>
      </c>
      <c r="B80" s="26">
        <f>647*1000</f>
        <v>647000</v>
      </c>
      <c r="C80" s="26">
        <f>1951*1000</f>
        <v>1951000</v>
      </c>
      <c r="D80" s="26">
        <f>851*1000</f>
        <v>851000</v>
      </c>
      <c r="E80" s="26">
        <f>849*1000</f>
        <v>849000</v>
      </c>
      <c r="F80" s="26">
        <f>719*1000</f>
        <v>719000</v>
      </c>
      <c r="G80" s="26">
        <f>671*1000</f>
        <v>671000</v>
      </c>
      <c r="H80" s="26">
        <f>714*1000</f>
        <v>714000</v>
      </c>
      <c r="I80" s="26">
        <f>294*1000</f>
        <v>294000</v>
      </c>
      <c r="J80" s="32">
        <f t="shared" si="12"/>
        <v>6696000</v>
      </c>
      <c r="K80" s="32">
        <f>772*1000</f>
        <v>772000</v>
      </c>
      <c r="L80" s="26"/>
      <c r="M80" s="32">
        <f>356*1000</f>
        <v>356000</v>
      </c>
      <c r="N80" s="32">
        <f>7826*1000</f>
        <v>7826000</v>
      </c>
    </row>
    <row r="81" spans="1:14" x14ac:dyDescent="0.25">
      <c r="A81" s="17">
        <v>2011</v>
      </c>
      <c r="B81" s="26">
        <f>697*1000</f>
        <v>697000</v>
      </c>
      <c r="C81" s="26">
        <f>2205*1000</f>
        <v>2205000</v>
      </c>
      <c r="D81" s="26">
        <f>929*1000</f>
        <v>929000</v>
      </c>
      <c r="E81" s="26">
        <f>830*1000</f>
        <v>830000</v>
      </c>
      <c r="F81" s="26">
        <f>771*1000</f>
        <v>771000</v>
      </c>
      <c r="G81" s="26">
        <f>719*1000</f>
        <v>719000</v>
      </c>
      <c r="H81" s="26">
        <f>732*1000</f>
        <v>732000</v>
      </c>
      <c r="I81" s="26">
        <f>278*1000</f>
        <v>278000</v>
      </c>
      <c r="J81" s="32">
        <f t="shared" si="12"/>
        <v>7161000</v>
      </c>
      <c r="K81" s="32">
        <f>892*1000</f>
        <v>892000</v>
      </c>
      <c r="L81" s="26"/>
      <c r="M81" s="32">
        <f>346*1000</f>
        <v>346000</v>
      </c>
      <c r="N81" s="32">
        <f>8398*1000</f>
        <v>8398000</v>
      </c>
    </row>
    <row r="82" spans="1:14" x14ac:dyDescent="0.25">
      <c r="A82" s="17">
        <v>2012</v>
      </c>
      <c r="B82" s="26">
        <f>660*1000</f>
        <v>660000</v>
      </c>
      <c r="C82" s="26">
        <f>2070*1000</f>
        <v>2070000</v>
      </c>
      <c r="D82" s="26">
        <f>858*1000</f>
        <v>858000</v>
      </c>
      <c r="E82" s="26">
        <f>763*1000</f>
        <v>763000</v>
      </c>
      <c r="F82" s="26">
        <f>741*1000</f>
        <v>741000</v>
      </c>
      <c r="G82" s="26">
        <f>622*1000</f>
        <v>622000</v>
      </c>
      <c r="H82" s="26">
        <f>654*1000</f>
        <v>654000</v>
      </c>
      <c r="I82" s="26">
        <f>291*1000</f>
        <v>291000</v>
      </c>
      <c r="J82" s="32">
        <f t="shared" si="12"/>
        <v>6659000</v>
      </c>
      <c r="K82" s="32">
        <f>779*1000</f>
        <v>779000</v>
      </c>
      <c r="L82" s="26"/>
      <c r="M82" s="32">
        <f>349*1000</f>
        <v>349000</v>
      </c>
      <c r="N82" s="32">
        <f>7787*1000</f>
        <v>7787000</v>
      </c>
    </row>
    <row r="83" spans="1:14" x14ac:dyDescent="0.25">
      <c r="A83" s="17">
        <v>2013</v>
      </c>
      <c r="B83" s="26">
        <f>673*1000</f>
        <v>673000</v>
      </c>
      <c r="C83" s="26">
        <f>2214*1000</f>
        <v>2214000</v>
      </c>
      <c r="D83" s="26">
        <f>905*1000</f>
        <v>905000</v>
      </c>
      <c r="E83" s="26">
        <f>805*1000</f>
        <v>805000</v>
      </c>
      <c r="F83" s="26">
        <f>793*1000</f>
        <v>793000</v>
      </c>
      <c r="G83" s="26">
        <f>716*1000</f>
        <v>716000</v>
      </c>
      <c r="H83" s="26">
        <f>740*1000</f>
        <v>740000</v>
      </c>
      <c r="I83" s="26">
        <f>294*1000</f>
        <v>294000</v>
      </c>
      <c r="J83" s="32">
        <f t="shared" si="12"/>
        <v>7140000</v>
      </c>
      <c r="K83" s="32">
        <f>842*1000</f>
        <v>842000</v>
      </c>
      <c r="L83" s="26"/>
      <c r="M83" s="32">
        <f>341*1000</f>
        <v>341000</v>
      </c>
      <c r="N83" s="32">
        <f>8321*1000</f>
        <v>8321000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34" workbookViewId="0">
      <selection activeCell="X45" sqref="X45"/>
    </sheetView>
  </sheetViews>
  <sheetFormatPr defaultRowHeight="15" x14ac:dyDescent="0.25"/>
  <cols>
    <col min="1" max="12" width="13.28515625" customWidth="1"/>
    <col min="13" max="15" width="11.7109375" customWidth="1"/>
  </cols>
  <sheetData>
    <row r="1" spans="1:12" x14ac:dyDescent="0.25">
      <c r="A1" s="1" t="s">
        <v>0</v>
      </c>
    </row>
    <row r="3" spans="1:12" x14ac:dyDescent="0.25">
      <c r="A3" s="1" t="s">
        <v>26</v>
      </c>
      <c r="G3" s="45"/>
    </row>
    <row r="4" spans="1:12" x14ac:dyDescent="0.25">
      <c r="G4" s="45"/>
    </row>
    <row r="5" spans="1:12" ht="78.75" customHeight="1" x14ac:dyDescent="0.25">
      <c r="A5" s="24" t="s">
        <v>2</v>
      </c>
      <c r="B5" s="24" t="s">
        <v>27</v>
      </c>
      <c r="C5" s="24" t="s">
        <v>28</v>
      </c>
      <c r="D5" s="24" t="s">
        <v>29</v>
      </c>
      <c r="E5" s="24" t="s">
        <v>30</v>
      </c>
      <c r="F5" s="24" t="s">
        <v>31</v>
      </c>
      <c r="G5" s="24" t="s">
        <v>36</v>
      </c>
      <c r="H5" s="24" t="s">
        <v>32</v>
      </c>
      <c r="I5" s="24" t="s">
        <v>33</v>
      </c>
      <c r="J5" s="24" t="s">
        <v>34</v>
      </c>
      <c r="K5" s="24" t="s">
        <v>35</v>
      </c>
      <c r="L5" s="24" t="s">
        <v>39</v>
      </c>
    </row>
    <row r="6" spans="1:12" x14ac:dyDescent="0.25">
      <c r="A6" s="27">
        <v>2001</v>
      </c>
      <c r="B6" s="33">
        <f t="shared" ref="B6:L6" si="0">SUM(B7:B10)</f>
        <v>10183</v>
      </c>
      <c r="C6" s="33">
        <f t="shared" si="0"/>
        <v>11090</v>
      </c>
      <c r="D6" s="33">
        <f t="shared" si="0"/>
        <v>206</v>
      </c>
      <c r="E6" s="33">
        <f t="shared" si="0"/>
        <v>10656</v>
      </c>
      <c r="F6" s="33">
        <f t="shared" si="0"/>
        <v>1182</v>
      </c>
      <c r="G6" s="33">
        <f t="shared" si="0"/>
        <v>11838</v>
      </c>
      <c r="H6" s="33">
        <f t="shared" si="0"/>
        <v>360</v>
      </c>
      <c r="I6" s="33">
        <f t="shared" si="0"/>
        <v>1542</v>
      </c>
      <c r="J6" s="33">
        <f t="shared" si="0"/>
        <v>12198</v>
      </c>
      <c r="K6" s="33">
        <f t="shared" si="0"/>
        <v>2064</v>
      </c>
      <c r="L6" s="33">
        <f t="shared" si="0"/>
        <v>14262</v>
      </c>
    </row>
    <row r="7" spans="1:12" x14ac:dyDescent="0.25">
      <c r="A7" s="38"/>
      <c r="B7" s="39">
        <v>2042</v>
      </c>
      <c r="C7" s="39">
        <v>2575</v>
      </c>
      <c r="D7" s="40">
        <v>32</v>
      </c>
      <c r="E7" s="39">
        <v>2556</v>
      </c>
      <c r="F7" s="40">
        <v>239</v>
      </c>
      <c r="G7" s="39">
        <v>2795</v>
      </c>
      <c r="H7" s="40">
        <v>82</v>
      </c>
      <c r="I7" s="40">
        <v>321</v>
      </c>
      <c r="J7" s="39">
        <v>2877</v>
      </c>
      <c r="K7" s="40">
        <v>464</v>
      </c>
      <c r="L7" s="39">
        <v>3341</v>
      </c>
    </row>
    <row r="8" spans="1:12" x14ac:dyDescent="0.25">
      <c r="A8" s="38"/>
      <c r="B8" s="39">
        <v>2699</v>
      </c>
      <c r="C8" s="39">
        <v>2915</v>
      </c>
      <c r="D8" s="40">
        <v>49</v>
      </c>
      <c r="E8" s="39">
        <v>2794</v>
      </c>
      <c r="F8" s="40">
        <v>308</v>
      </c>
      <c r="G8" s="39">
        <v>3102</v>
      </c>
      <c r="H8" s="40">
        <v>97</v>
      </c>
      <c r="I8" s="40">
        <v>405</v>
      </c>
      <c r="J8" s="39">
        <v>3199</v>
      </c>
      <c r="K8" s="40">
        <v>521</v>
      </c>
      <c r="L8" s="39">
        <v>3720</v>
      </c>
    </row>
    <row r="9" spans="1:12" x14ac:dyDescent="0.25">
      <c r="A9" s="38"/>
      <c r="B9" s="39">
        <v>2667</v>
      </c>
      <c r="C9" s="39">
        <v>2930</v>
      </c>
      <c r="D9" s="40">
        <v>67</v>
      </c>
      <c r="E9" s="39">
        <v>2801</v>
      </c>
      <c r="F9" s="40">
        <v>300</v>
      </c>
      <c r="G9" s="39">
        <v>3101</v>
      </c>
      <c r="H9" s="40">
        <v>99</v>
      </c>
      <c r="I9" s="40">
        <v>399</v>
      </c>
      <c r="J9" s="39">
        <v>3200</v>
      </c>
      <c r="K9" s="40">
        <v>574</v>
      </c>
      <c r="L9" s="39">
        <v>3774</v>
      </c>
    </row>
    <row r="10" spans="1:12" x14ac:dyDescent="0.25">
      <c r="A10" s="41"/>
      <c r="B10" s="42">
        <v>2775</v>
      </c>
      <c r="C10" s="42">
        <v>2670</v>
      </c>
      <c r="D10" s="43">
        <v>58</v>
      </c>
      <c r="E10" s="42">
        <v>2505</v>
      </c>
      <c r="F10" s="43">
        <v>335</v>
      </c>
      <c r="G10" s="42">
        <v>2840</v>
      </c>
      <c r="H10" s="43">
        <v>82</v>
      </c>
      <c r="I10" s="43">
        <v>417</v>
      </c>
      <c r="J10" s="42">
        <v>2922</v>
      </c>
      <c r="K10" s="43">
        <v>505</v>
      </c>
      <c r="L10" s="42">
        <v>3427</v>
      </c>
    </row>
    <row r="11" spans="1:12" x14ac:dyDescent="0.25">
      <c r="A11" s="27">
        <v>2002</v>
      </c>
      <c r="B11" s="33">
        <f t="shared" ref="B11:L11" si="1">SUM(B12:B15)</f>
        <v>10327</v>
      </c>
      <c r="C11" s="33">
        <f t="shared" si="1"/>
        <v>11089</v>
      </c>
      <c r="D11" s="33">
        <f t="shared" si="1"/>
        <v>146</v>
      </c>
      <c r="E11" s="33">
        <f t="shared" si="1"/>
        <v>10762</v>
      </c>
      <c r="F11" s="33">
        <f t="shared" si="1"/>
        <v>966</v>
      </c>
      <c r="G11" s="33">
        <f t="shared" si="1"/>
        <v>11728</v>
      </c>
      <c r="H11" s="33">
        <f t="shared" si="1"/>
        <v>452</v>
      </c>
      <c r="I11" s="33">
        <f t="shared" si="1"/>
        <v>1418</v>
      </c>
      <c r="J11" s="33">
        <f t="shared" si="1"/>
        <v>12180</v>
      </c>
      <c r="K11" s="33">
        <f t="shared" si="1"/>
        <v>2175</v>
      </c>
      <c r="L11" s="33">
        <f t="shared" si="1"/>
        <v>14355</v>
      </c>
    </row>
    <row r="12" spans="1:12" x14ac:dyDescent="0.25">
      <c r="A12" s="38"/>
      <c r="B12" s="39">
        <v>2165</v>
      </c>
      <c r="C12" s="39">
        <v>2650</v>
      </c>
      <c r="D12" s="40">
        <v>36</v>
      </c>
      <c r="E12" s="39">
        <v>2587</v>
      </c>
      <c r="F12" s="40">
        <v>253</v>
      </c>
      <c r="G12" s="39">
        <v>2840</v>
      </c>
      <c r="H12" s="40">
        <v>102</v>
      </c>
      <c r="I12" s="40">
        <v>355</v>
      </c>
      <c r="J12" s="39">
        <v>2942</v>
      </c>
      <c r="K12" s="40">
        <v>476</v>
      </c>
      <c r="L12" s="39">
        <v>3418</v>
      </c>
    </row>
    <row r="13" spans="1:12" x14ac:dyDescent="0.25">
      <c r="A13" s="38"/>
      <c r="B13" s="39">
        <v>2766</v>
      </c>
      <c r="C13" s="39">
        <v>2887</v>
      </c>
      <c r="D13" s="40">
        <v>49</v>
      </c>
      <c r="E13" s="39">
        <v>2784</v>
      </c>
      <c r="F13" s="40">
        <v>273</v>
      </c>
      <c r="G13" s="39">
        <v>3057</v>
      </c>
      <c r="H13" s="40">
        <v>84</v>
      </c>
      <c r="I13" s="40">
        <v>357</v>
      </c>
      <c r="J13" s="39">
        <v>3141</v>
      </c>
      <c r="K13" s="40">
        <v>535</v>
      </c>
      <c r="L13" s="39">
        <v>3676</v>
      </c>
    </row>
    <row r="14" spans="1:12" x14ac:dyDescent="0.25">
      <c r="A14" s="38"/>
      <c r="B14" s="39">
        <v>2714</v>
      </c>
      <c r="C14" s="39">
        <v>2890</v>
      </c>
      <c r="D14" s="40">
        <v>30</v>
      </c>
      <c r="E14" s="39">
        <v>2865</v>
      </c>
      <c r="F14" s="40">
        <v>262</v>
      </c>
      <c r="G14" s="39">
        <v>3127</v>
      </c>
      <c r="H14" s="40">
        <v>140</v>
      </c>
      <c r="I14" s="40">
        <v>402</v>
      </c>
      <c r="J14" s="39">
        <v>3267</v>
      </c>
      <c r="K14" s="40">
        <v>641</v>
      </c>
      <c r="L14" s="39">
        <v>3908</v>
      </c>
    </row>
    <row r="15" spans="1:12" x14ac:dyDescent="0.25">
      <c r="A15" s="41"/>
      <c r="B15" s="42">
        <v>2682</v>
      </c>
      <c r="C15" s="42">
        <v>2662</v>
      </c>
      <c r="D15" s="43">
        <v>31</v>
      </c>
      <c r="E15" s="42">
        <v>2526</v>
      </c>
      <c r="F15" s="43">
        <v>178</v>
      </c>
      <c r="G15" s="42">
        <v>2704</v>
      </c>
      <c r="H15" s="43">
        <v>126</v>
      </c>
      <c r="I15" s="43">
        <v>304</v>
      </c>
      <c r="J15" s="42">
        <v>2830</v>
      </c>
      <c r="K15" s="43">
        <v>523</v>
      </c>
      <c r="L15" s="42">
        <v>3353</v>
      </c>
    </row>
    <row r="16" spans="1:12" x14ac:dyDescent="0.25">
      <c r="A16" s="27">
        <v>2003</v>
      </c>
      <c r="B16" s="33">
        <f t="shared" ref="B16:L16" si="2">SUM(B17:B20)</f>
        <v>10146</v>
      </c>
      <c r="C16" s="33">
        <f t="shared" si="2"/>
        <v>11215</v>
      </c>
      <c r="D16" s="33">
        <f t="shared" si="2"/>
        <v>164</v>
      </c>
      <c r="E16" s="33">
        <f t="shared" si="2"/>
        <v>11072</v>
      </c>
      <c r="F16" s="33">
        <f t="shared" si="2"/>
        <v>576</v>
      </c>
      <c r="G16" s="33">
        <f t="shared" si="2"/>
        <v>11648</v>
      </c>
      <c r="H16" s="33">
        <f t="shared" si="2"/>
        <v>646</v>
      </c>
      <c r="I16" s="33">
        <f t="shared" si="2"/>
        <v>1222</v>
      </c>
      <c r="J16" s="33">
        <f t="shared" si="2"/>
        <v>12294</v>
      </c>
      <c r="K16" s="33">
        <f t="shared" si="2"/>
        <v>2328</v>
      </c>
      <c r="L16" s="33">
        <f t="shared" si="2"/>
        <v>14622</v>
      </c>
    </row>
    <row r="17" spans="1:12" x14ac:dyDescent="0.25">
      <c r="A17" s="38"/>
      <c r="B17" s="39">
        <v>2189</v>
      </c>
      <c r="C17" s="39">
        <v>2632</v>
      </c>
      <c r="D17" s="40">
        <v>30</v>
      </c>
      <c r="E17" s="39">
        <v>2661</v>
      </c>
      <c r="F17" s="40">
        <v>193</v>
      </c>
      <c r="G17" s="39">
        <v>2854</v>
      </c>
      <c r="H17" s="40">
        <v>130</v>
      </c>
      <c r="I17" s="40">
        <v>323</v>
      </c>
      <c r="J17" s="39">
        <v>2984</v>
      </c>
      <c r="K17" s="40">
        <v>529</v>
      </c>
      <c r="L17" s="39">
        <v>3513</v>
      </c>
    </row>
    <row r="18" spans="1:12" x14ac:dyDescent="0.25">
      <c r="A18" s="38"/>
      <c r="B18" s="39">
        <v>2735</v>
      </c>
      <c r="C18" s="39">
        <v>2963</v>
      </c>
      <c r="D18" s="40">
        <v>40</v>
      </c>
      <c r="E18" s="39">
        <v>2907</v>
      </c>
      <c r="F18" s="40">
        <v>174</v>
      </c>
      <c r="G18" s="39">
        <v>3081</v>
      </c>
      <c r="H18" s="40">
        <v>173</v>
      </c>
      <c r="I18" s="40">
        <v>347</v>
      </c>
      <c r="J18" s="39">
        <v>3254</v>
      </c>
      <c r="K18" s="40">
        <v>593</v>
      </c>
      <c r="L18" s="39">
        <v>3847</v>
      </c>
    </row>
    <row r="19" spans="1:12" x14ac:dyDescent="0.25">
      <c r="A19" s="38"/>
      <c r="B19" s="39">
        <v>2537</v>
      </c>
      <c r="C19" s="39">
        <v>2889</v>
      </c>
      <c r="D19" s="40">
        <v>53</v>
      </c>
      <c r="E19" s="39">
        <v>2910</v>
      </c>
      <c r="F19" s="40">
        <v>128</v>
      </c>
      <c r="G19" s="39">
        <v>3038</v>
      </c>
      <c r="H19" s="40">
        <v>183</v>
      </c>
      <c r="I19" s="40">
        <v>311</v>
      </c>
      <c r="J19" s="39">
        <v>3221</v>
      </c>
      <c r="K19" s="40">
        <v>646</v>
      </c>
      <c r="L19" s="39">
        <v>3867</v>
      </c>
    </row>
    <row r="20" spans="1:12" x14ac:dyDescent="0.25">
      <c r="A20" s="41"/>
      <c r="B20" s="42">
        <v>2685</v>
      </c>
      <c r="C20" s="42">
        <v>2731</v>
      </c>
      <c r="D20" s="43">
        <v>41</v>
      </c>
      <c r="E20" s="42">
        <v>2594</v>
      </c>
      <c r="F20" s="43">
        <v>81</v>
      </c>
      <c r="G20" s="42">
        <v>2675</v>
      </c>
      <c r="H20" s="43">
        <v>160</v>
      </c>
      <c r="I20" s="43">
        <v>241</v>
      </c>
      <c r="J20" s="42">
        <v>2835</v>
      </c>
      <c r="K20" s="43">
        <v>560</v>
      </c>
      <c r="L20" s="42">
        <v>3395</v>
      </c>
    </row>
    <row r="21" spans="1:12" x14ac:dyDescent="0.25">
      <c r="A21" s="27">
        <v>2004</v>
      </c>
      <c r="B21" s="33">
        <f t="shared" ref="B21:L21" si="3">SUM(B22:B25)</f>
        <v>10402</v>
      </c>
      <c r="C21" s="33">
        <f t="shared" si="3"/>
        <v>11405</v>
      </c>
      <c r="D21" s="33">
        <f t="shared" si="3"/>
        <v>141</v>
      </c>
      <c r="E21" s="33">
        <f t="shared" si="3"/>
        <v>11074</v>
      </c>
      <c r="F21" s="33">
        <f t="shared" si="3"/>
        <v>609</v>
      </c>
      <c r="G21" s="33">
        <f t="shared" si="3"/>
        <v>11683</v>
      </c>
      <c r="H21" s="33">
        <f t="shared" si="3"/>
        <v>825</v>
      </c>
      <c r="I21" s="33">
        <f t="shared" si="3"/>
        <v>1434</v>
      </c>
      <c r="J21" s="33">
        <f t="shared" si="3"/>
        <v>12508</v>
      </c>
      <c r="K21" s="33">
        <f t="shared" si="3"/>
        <v>2443</v>
      </c>
      <c r="L21" s="33">
        <f t="shared" si="3"/>
        <v>14951</v>
      </c>
    </row>
    <row r="22" spans="1:12" x14ac:dyDescent="0.25">
      <c r="A22" s="38"/>
      <c r="B22" s="39">
        <v>2153</v>
      </c>
      <c r="C22" s="39">
        <v>2623</v>
      </c>
      <c r="D22" s="40">
        <v>31</v>
      </c>
      <c r="E22" s="39">
        <v>2683</v>
      </c>
      <c r="F22" s="40">
        <v>138</v>
      </c>
      <c r="G22" s="39">
        <v>2821</v>
      </c>
      <c r="H22" s="40">
        <v>196</v>
      </c>
      <c r="I22" s="40">
        <v>334</v>
      </c>
      <c r="J22" s="39">
        <v>3017</v>
      </c>
      <c r="K22" s="40">
        <v>554</v>
      </c>
      <c r="L22" s="39">
        <v>3571</v>
      </c>
    </row>
    <row r="23" spans="1:12" x14ac:dyDescent="0.25">
      <c r="A23" s="38"/>
      <c r="B23" s="39">
        <v>2711</v>
      </c>
      <c r="C23" s="39">
        <v>3023</v>
      </c>
      <c r="D23" s="40">
        <v>40</v>
      </c>
      <c r="E23" s="39">
        <v>2875</v>
      </c>
      <c r="F23" s="40">
        <v>176</v>
      </c>
      <c r="G23" s="39">
        <v>3051</v>
      </c>
      <c r="H23" s="40">
        <v>220</v>
      </c>
      <c r="I23" s="40">
        <v>396</v>
      </c>
      <c r="J23" s="39">
        <v>3271</v>
      </c>
      <c r="K23" s="40">
        <v>625</v>
      </c>
      <c r="L23" s="39">
        <v>3896</v>
      </c>
    </row>
    <row r="24" spans="1:12" x14ac:dyDescent="0.25">
      <c r="A24" s="38"/>
      <c r="B24" s="39">
        <v>2841</v>
      </c>
      <c r="C24" s="39">
        <v>2971</v>
      </c>
      <c r="D24" s="40">
        <v>36</v>
      </c>
      <c r="E24" s="39">
        <v>2863</v>
      </c>
      <c r="F24" s="40">
        <v>185</v>
      </c>
      <c r="G24" s="39">
        <v>3048</v>
      </c>
      <c r="H24" s="40">
        <v>219</v>
      </c>
      <c r="I24" s="40">
        <v>404</v>
      </c>
      <c r="J24" s="39">
        <v>3267</v>
      </c>
      <c r="K24" s="40">
        <v>688</v>
      </c>
      <c r="L24" s="39">
        <v>3955</v>
      </c>
    </row>
    <row r="25" spans="1:12" x14ac:dyDescent="0.25">
      <c r="A25" s="41"/>
      <c r="B25" s="42">
        <v>2697</v>
      </c>
      <c r="C25" s="42">
        <v>2788</v>
      </c>
      <c r="D25" s="43">
        <v>34</v>
      </c>
      <c r="E25" s="42">
        <v>2653</v>
      </c>
      <c r="F25" s="43">
        <v>110</v>
      </c>
      <c r="G25" s="42">
        <v>2763</v>
      </c>
      <c r="H25" s="43">
        <v>190</v>
      </c>
      <c r="I25" s="43">
        <v>300</v>
      </c>
      <c r="J25" s="42">
        <v>2953</v>
      </c>
      <c r="K25" s="43">
        <v>576</v>
      </c>
      <c r="L25" s="42">
        <v>3529</v>
      </c>
    </row>
    <row r="26" spans="1:12" x14ac:dyDescent="0.25">
      <c r="A26" s="27">
        <v>2005</v>
      </c>
      <c r="B26" s="33">
        <f t="shared" ref="B26:L26" si="4">SUM(B27:B30)</f>
        <v>10074</v>
      </c>
      <c r="C26" s="33">
        <f t="shared" si="4"/>
        <v>11216</v>
      </c>
      <c r="D26" s="33">
        <f t="shared" si="4"/>
        <v>110</v>
      </c>
      <c r="E26" s="33">
        <f t="shared" si="4"/>
        <v>11004</v>
      </c>
      <c r="F26" s="33">
        <f t="shared" si="4"/>
        <v>306</v>
      </c>
      <c r="G26" s="33">
        <f t="shared" si="4"/>
        <v>11310</v>
      </c>
      <c r="H26" s="33">
        <f t="shared" si="4"/>
        <v>971</v>
      </c>
      <c r="I26" s="33">
        <f t="shared" si="4"/>
        <v>1277</v>
      </c>
      <c r="J26" s="33">
        <f t="shared" si="4"/>
        <v>12281</v>
      </c>
      <c r="K26" s="33">
        <f t="shared" si="4"/>
        <v>2449</v>
      </c>
      <c r="L26" s="33">
        <f t="shared" si="4"/>
        <v>14730</v>
      </c>
    </row>
    <row r="27" spans="1:12" x14ac:dyDescent="0.25">
      <c r="A27" s="38"/>
      <c r="B27" s="39">
        <v>2193</v>
      </c>
      <c r="C27" s="39">
        <v>2544</v>
      </c>
      <c r="D27" s="40">
        <v>21</v>
      </c>
      <c r="E27" s="39">
        <v>2555</v>
      </c>
      <c r="F27" s="40">
        <v>104</v>
      </c>
      <c r="G27" s="39">
        <v>2659</v>
      </c>
      <c r="H27" s="40">
        <v>225</v>
      </c>
      <c r="I27" s="40">
        <v>329</v>
      </c>
      <c r="J27" s="39">
        <v>2884</v>
      </c>
      <c r="K27" s="40">
        <v>552</v>
      </c>
      <c r="L27" s="39">
        <v>3436</v>
      </c>
    </row>
    <row r="28" spans="1:12" x14ac:dyDescent="0.25">
      <c r="A28" s="38"/>
      <c r="B28" s="39">
        <v>2669</v>
      </c>
      <c r="C28" s="39">
        <v>3024</v>
      </c>
      <c r="D28" s="40">
        <v>30</v>
      </c>
      <c r="E28" s="39">
        <v>2986</v>
      </c>
      <c r="F28" s="40">
        <v>70</v>
      </c>
      <c r="G28" s="39">
        <v>3056</v>
      </c>
      <c r="H28" s="40">
        <v>264</v>
      </c>
      <c r="I28" s="40">
        <v>334</v>
      </c>
      <c r="J28" s="39">
        <v>3320</v>
      </c>
      <c r="K28" s="40">
        <v>643</v>
      </c>
      <c r="L28" s="39">
        <v>3963</v>
      </c>
    </row>
    <row r="29" spans="1:12" x14ac:dyDescent="0.25">
      <c r="A29" s="38"/>
      <c r="B29" s="39">
        <v>2576</v>
      </c>
      <c r="C29" s="39">
        <v>2940</v>
      </c>
      <c r="D29" s="40">
        <v>29</v>
      </c>
      <c r="E29" s="39">
        <v>2923</v>
      </c>
      <c r="F29" s="40">
        <v>77</v>
      </c>
      <c r="G29" s="39">
        <v>3000</v>
      </c>
      <c r="H29" s="40">
        <v>264</v>
      </c>
      <c r="I29" s="40">
        <v>341</v>
      </c>
      <c r="J29" s="39">
        <v>3264</v>
      </c>
      <c r="K29" s="40">
        <v>687</v>
      </c>
      <c r="L29" s="39">
        <v>3951</v>
      </c>
    </row>
    <row r="30" spans="1:12" x14ac:dyDescent="0.25">
      <c r="A30" s="41"/>
      <c r="B30" s="42">
        <v>2636</v>
      </c>
      <c r="C30" s="42">
        <v>2708</v>
      </c>
      <c r="D30" s="43">
        <v>30</v>
      </c>
      <c r="E30" s="42">
        <v>2540</v>
      </c>
      <c r="F30" s="43">
        <v>55</v>
      </c>
      <c r="G30" s="42">
        <v>2595</v>
      </c>
      <c r="H30" s="43">
        <v>218</v>
      </c>
      <c r="I30" s="43">
        <v>273</v>
      </c>
      <c r="J30" s="42">
        <v>2813</v>
      </c>
      <c r="K30" s="43">
        <v>567</v>
      </c>
      <c r="L30" s="42">
        <v>3380</v>
      </c>
    </row>
    <row r="31" spans="1:12" x14ac:dyDescent="0.25">
      <c r="A31" s="27">
        <v>2006</v>
      </c>
      <c r="B31" s="33">
        <f t="shared" ref="B31:L31" si="5">SUM(B32:B35)</f>
        <v>10066</v>
      </c>
      <c r="C31" s="33">
        <f t="shared" si="5"/>
        <v>11469</v>
      </c>
      <c r="D31" s="33">
        <f t="shared" si="5"/>
        <v>126</v>
      </c>
      <c r="E31" s="33">
        <f t="shared" si="5"/>
        <v>11223</v>
      </c>
      <c r="F31" s="33">
        <f t="shared" si="5"/>
        <v>122</v>
      </c>
      <c r="G31" s="33">
        <f t="shared" si="5"/>
        <v>11344</v>
      </c>
      <c r="H31" s="33">
        <f t="shared" si="5"/>
        <v>1089</v>
      </c>
      <c r="I31" s="33">
        <f t="shared" si="5"/>
        <v>1210</v>
      </c>
      <c r="J31" s="33">
        <f t="shared" si="5"/>
        <v>12432</v>
      </c>
      <c r="K31" s="33">
        <f t="shared" si="5"/>
        <v>2650</v>
      </c>
      <c r="L31" s="33">
        <f t="shared" si="5"/>
        <v>15082</v>
      </c>
    </row>
    <row r="32" spans="1:12" x14ac:dyDescent="0.25">
      <c r="A32" s="38"/>
      <c r="B32" s="39">
        <v>2126</v>
      </c>
      <c r="C32" s="39">
        <v>2648</v>
      </c>
      <c r="D32" s="40">
        <v>25</v>
      </c>
      <c r="E32" s="39">
        <v>2739</v>
      </c>
      <c r="F32" s="40">
        <v>29</v>
      </c>
      <c r="G32" s="39">
        <v>2767</v>
      </c>
      <c r="H32" s="40">
        <v>269</v>
      </c>
      <c r="I32" s="40">
        <v>297</v>
      </c>
      <c r="J32" s="39">
        <v>3036</v>
      </c>
      <c r="K32" s="40">
        <v>599</v>
      </c>
      <c r="L32" s="39">
        <v>3635</v>
      </c>
    </row>
    <row r="33" spans="1:12" x14ac:dyDescent="0.25">
      <c r="A33" s="38"/>
      <c r="B33" s="39">
        <v>2621</v>
      </c>
      <c r="C33" s="39">
        <v>2981</v>
      </c>
      <c r="D33" s="40">
        <v>30</v>
      </c>
      <c r="E33" s="39">
        <v>2893</v>
      </c>
      <c r="F33" s="40">
        <v>30</v>
      </c>
      <c r="G33" s="39">
        <v>2924</v>
      </c>
      <c r="H33" s="40">
        <v>268</v>
      </c>
      <c r="I33" s="40">
        <v>298</v>
      </c>
      <c r="J33" s="39">
        <v>3191</v>
      </c>
      <c r="K33" s="40">
        <v>696</v>
      </c>
      <c r="L33" s="39">
        <v>3887</v>
      </c>
    </row>
    <row r="34" spans="1:12" x14ac:dyDescent="0.25">
      <c r="A34" s="38"/>
      <c r="B34" s="39">
        <v>2654</v>
      </c>
      <c r="C34" s="39">
        <v>2989</v>
      </c>
      <c r="D34" s="40">
        <v>37</v>
      </c>
      <c r="E34" s="39">
        <v>2917</v>
      </c>
      <c r="F34" s="40">
        <v>40</v>
      </c>
      <c r="G34" s="39">
        <v>2957</v>
      </c>
      <c r="H34" s="40">
        <v>303</v>
      </c>
      <c r="I34" s="40">
        <v>343</v>
      </c>
      <c r="J34" s="39">
        <v>3260</v>
      </c>
      <c r="K34" s="40">
        <v>732</v>
      </c>
      <c r="L34" s="39">
        <v>3992</v>
      </c>
    </row>
    <row r="35" spans="1:12" x14ac:dyDescent="0.25">
      <c r="A35" s="41"/>
      <c r="B35" s="42">
        <v>2665</v>
      </c>
      <c r="C35" s="42">
        <v>2851</v>
      </c>
      <c r="D35" s="43">
        <v>34</v>
      </c>
      <c r="E35" s="42">
        <v>2674</v>
      </c>
      <c r="F35" s="43">
        <v>23</v>
      </c>
      <c r="G35" s="42">
        <v>2696</v>
      </c>
      <c r="H35" s="43">
        <v>249</v>
      </c>
      <c r="I35" s="43">
        <v>272</v>
      </c>
      <c r="J35" s="42">
        <v>2945</v>
      </c>
      <c r="K35" s="43">
        <v>623</v>
      </c>
      <c r="L35" s="42">
        <v>3568</v>
      </c>
    </row>
    <row r="36" spans="1:12" x14ac:dyDescent="0.25">
      <c r="A36" s="27">
        <v>2007</v>
      </c>
      <c r="B36" s="33">
        <f t="shared" ref="B36:L36" si="6">SUM(B37:B40)</f>
        <v>10228</v>
      </c>
      <c r="C36" s="33">
        <f t="shared" si="6"/>
        <v>11888</v>
      </c>
      <c r="D36" s="33">
        <f t="shared" si="6"/>
        <v>73</v>
      </c>
      <c r="E36" s="33">
        <f t="shared" si="6"/>
        <v>11649</v>
      </c>
      <c r="F36" s="33">
        <f t="shared" si="6"/>
        <v>255</v>
      </c>
      <c r="G36" s="33">
        <f t="shared" si="6"/>
        <v>11906</v>
      </c>
      <c r="H36" s="33">
        <f t="shared" si="6"/>
        <v>1121</v>
      </c>
      <c r="I36" s="33">
        <f t="shared" si="6"/>
        <v>1376</v>
      </c>
      <c r="J36" s="33">
        <f t="shared" si="6"/>
        <v>13025</v>
      </c>
      <c r="K36" s="33">
        <f t="shared" si="6"/>
        <v>2758</v>
      </c>
      <c r="L36" s="33">
        <f t="shared" si="6"/>
        <v>15783</v>
      </c>
    </row>
    <row r="37" spans="1:12" x14ac:dyDescent="0.25">
      <c r="A37" s="38"/>
      <c r="B37" s="39">
        <v>2021</v>
      </c>
      <c r="C37" s="39">
        <v>2678</v>
      </c>
      <c r="D37" s="40">
        <v>27</v>
      </c>
      <c r="E37" s="39">
        <v>2790</v>
      </c>
      <c r="F37" s="40">
        <v>43</v>
      </c>
      <c r="G37" s="39">
        <v>2834</v>
      </c>
      <c r="H37" s="40">
        <v>271</v>
      </c>
      <c r="I37" s="40">
        <v>314</v>
      </c>
      <c r="J37" s="39">
        <v>3104</v>
      </c>
      <c r="K37" s="40">
        <v>631</v>
      </c>
      <c r="L37" s="39">
        <v>3735</v>
      </c>
    </row>
    <row r="38" spans="1:12" x14ac:dyDescent="0.25">
      <c r="A38" s="38"/>
      <c r="B38" s="39">
        <v>2812</v>
      </c>
      <c r="C38" s="39">
        <v>3189</v>
      </c>
      <c r="D38" s="40">
        <v>22</v>
      </c>
      <c r="E38" s="39">
        <v>3061</v>
      </c>
      <c r="F38" s="40">
        <v>58</v>
      </c>
      <c r="G38" s="39">
        <v>3120</v>
      </c>
      <c r="H38" s="40">
        <v>297</v>
      </c>
      <c r="I38" s="40">
        <v>355</v>
      </c>
      <c r="J38" s="39">
        <v>3416</v>
      </c>
      <c r="K38" s="40">
        <v>701</v>
      </c>
      <c r="L38" s="39">
        <v>4117</v>
      </c>
    </row>
    <row r="39" spans="1:12" x14ac:dyDescent="0.25">
      <c r="A39" s="38"/>
      <c r="B39" s="39">
        <v>2751</v>
      </c>
      <c r="C39" s="39">
        <v>3130</v>
      </c>
      <c r="D39" s="40">
        <v>8</v>
      </c>
      <c r="E39" s="39">
        <v>3011</v>
      </c>
      <c r="F39" s="40">
        <v>85</v>
      </c>
      <c r="G39" s="39">
        <v>3096</v>
      </c>
      <c r="H39" s="40">
        <v>294</v>
      </c>
      <c r="I39" s="40">
        <v>379</v>
      </c>
      <c r="J39" s="39">
        <v>3390</v>
      </c>
      <c r="K39" s="40">
        <v>745</v>
      </c>
      <c r="L39" s="39">
        <v>4135</v>
      </c>
    </row>
    <row r="40" spans="1:12" x14ac:dyDescent="0.25">
      <c r="A40" s="41"/>
      <c r="B40" s="42">
        <v>2644</v>
      </c>
      <c r="C40" s="42">
        <v>2891</v>
      </c>
      <c r="D40" s="43">
        <v>16</v>
      </c>
      <c r="E40" s="42">
        <v>2787</v>
      </c>
      <c r="F40" s="43">
        <v>69</v>
      </c>
      <c r="G40" s="42">
        <v>2856</v>
      </c>
      <c r="H40" s="43">
        <v>259</v>
      </c>
      <c r="I40" s="43">
        <v>328</v>
      </c>
      <c r="J40" s="42">
        <v>3115</v>
      </c>
      <c r="K40" s="43">
        <v>681</v>
      </c>
      <c r="L40" s="42">
        <v>3796</v>
      </c>
    </row>
    <row r="41" spans="1:12" x14ac:dyDescent="0.25">
      <c r="A41" s="27">
        <v>2008</v>
      </c>
      <c r="B41" s="33">
        <f t="shared" ref="B41:L41" si="7">SUM(B42:B45)</f>
        <v>8702</v>
      </c>
      <c r="C41" s="33">
        <f t="shared" si="7"/>
        <v>10074</v>
      </c>
      <c r="D41" s="33">
        <f t="shared" si="7"/>
        <v>59</v>
      </c>
      <c r="E41" s="33">
        <f t="shared" si="7"/>
        <v>9861</v>
      </c>
      <c r="F41" s="33">
        <f t="shared" si="7"/>
        <v>283</v>
      </c>
      <c r="G41" s="33">
        <f t="shared" si="7"/>
        <v>10144</v>
      </c>
      <c r="H41" s="33">
        <f t="shared" si="7"/>
        <v>1084</v>
      </c>
      <c r="I41" s="33">
        <f t="shared" si="7"/>
        <v>1367</v>
      </c>
      <c r="J41" s="33">
        <f t="shared" si="7"/>
        <v>11228</v>
      </c>
      <c r="K41" s="33">
        <f t="shared" si="7"/>
        <v>2433</v>
      </c>
      <c r="L41" s="33">
        <f t="shared" si="7"/>
        <v>13660</v>
      </c>
    </row>
    <row r="42" spans="1:12" x14ac:dyDescent="0.25">
      <c r="A42" s="38"/>
      <c r="B42" s="39">
        <v>2268</v>
      </c>
      <c r="C42" s="39">
        <v>2610</v>
      </c>
      <c r="D42" s="40">
        <v>17</v>
      </c>
      <c r="E42" s="39">
        <v>2551</v>
      </c>
      <c r="F42" s="40">
        <v>88</v>
      </c>
      <c r="G42" s="39">
        <v>2639</v>
      </c>
      <c r="H42" s="40">
        <v>268</v>
      </c>
      <c r="I42" s="40">
        <v>356</v>
      </c>
      <c r="J42" s="39">
        <v>2907</v>
      </c>
      <c r="K42" s="40">
        <v>598</v>
      </c>
      <c r="L42" s="39">
        <v>3505</v>
      </c>
    </row>
    <row r="43" spans="1:12" x14ac:dyDescent="0.25">
      <c r="A43" s="38"/>
      <c r="B43" s="39">
        <v>2367</v>
      </c>
      <c r="C43" s="39">
        <v>2803</v>
      </c>
      <c r="D43" s="40">
        <v>17</v>
      </c>
      <c r="E43" s="39">
        <v>2816</v>
      </c>
      <c r="F43" s="40">
        <v>93</v>
      </c>
      <c r="G43" s="39">
        <v>2909</v>
      </c>
      <c r="H43" s="40">
        <v>327</v>
      </c>
      <c r="I43" s="40">
        <v>420</v>
      </c>
      <c r="J43" s="39">
        <v>3236</v>
      </c>
      <c r="K43" s="40">
        <v>682</v>
      </c>
      <c r="L43" s="39">
        <v>3917</v>
      </c>
    </row>
    <row r="44" spans="1:12" x14ac:dyDescent="0.25">
      <c r="A44" s="38"/>
      <c r="B44" s="39">
        <v>2202</v>
      </c>
      <c r="C44" s="39">
        <v>2521</v>
      </c>
      <c r="D44" s="40">
        <v>13</v>
      </c>
      <c r="E44" s="39">
        <v>2461</v>
      </c>
      <c r="F44" s="40">
        <v>73</v>
      </c>
      <c r="G44" s="39">
        <v>2534</v>
      </c>
      <c r="H44" s="40">
        <v>263</v>
      </c>
      <c r="I44" s="40">
        <v>336</v>
      </c>
      <c r="J44" s="39">
        <v>2797</v>
      </c>
      <c r="K44" s="40">
        <v>648</v>
      </c>
      <c r="L44" s="39">
        <v>3445</v>
      </c>
    </row>
    <row r="45" spans="1:12" x14ac:dyDescent="0.25">
      <c r="A45" s="41"/>
      <c r="B45" s="42">
        <v>1865</v>
      </c>
      <c r="C45" s="42">
        <v>2140</v>
      </c>
      <c r="D45" s="43">
        <v>12</v>
      </c>
      <c r="E45" s="42">
        <v>2033</v>
      </c>
      <c r="F45" s="43">
        <v>29</v>
      </c>
      <c r="G45" s="42">
        <v>2062</v>
      </c>
      <c r="H45" s="43">
        <v>226</v>
      </c>
      <c r="I45" s="43">
        <v>255</v>
      </c>
      <c r="J45" s="42">
        <v>2288</v>
      </c>
      <c r="K45" s="43">
        <v>505</v>
      </c>
      <c r="L45" s="42">
        <v>2793</v>
      </c>
    </row>
    <row r="46" spans="1:12" x14ac:dyDescent="0.25">
      <c r="A46" s="27">
        <v>2009</v>
      </c>
      <c r="B46" s="33">
        <f t="shared" ref="B46:L46" si="8">SUM(B47:B50)</f>
        <v>6420</v>
      </c>
      <c r="C46" s="33">
        <f t="shared" si="8"/>
        <v>7623</v>
      </c>
      <c r="D46" s="33">
        <f t="shared" si="8"/>
        <v>21</v>
      </c>
      <c r="E46" s="33">
        <f t="shared" si="8"/>
        <v>7474</v>
      </c>
      <c r="F46" s="33">
        <f t="shared" si="8"/>
        <v>100</v>
      </c>
      <c r="G46" s="33">
        <f t="shared" si="8"/>
        <v>7573</v>
      </c>
      <c r="H46" s="33">
        <f t="shared" si="8"/>
        <v>1086</v>
      </c>
      <c r="I46" s="33">
        <f t="shared" si="8"/>
        <v>1183</v>
      </c>
      <c r="J46" s="33">
        <f t="shared" si="8"/>
        <v>8657</v>
      </c>
      <c r="K46" s="33">
        <f t="shared" si="8"/>
        <v>1680</v>
      </c>
      <c r="L46" s="33">
        <f t="shared" si="8"/>
        <v>10339</v>
      </c>
    </row>
    <row r="47" spans="1:12" x14ac:dyDescent="0.25">
      <c r="A47" s="38"/>
      <c r="B47" s="39">
        <v>1378</v>
      </c>
      <c r="C47" s="39">
        <v>1762</v>
      </c>
      <c r="D47" s="40">
        <v>14</v>
      </c>
      <c r="E47" s="39">
        <v>1782</v>
      </c>
      <c r="F47" s="40">
        <v>37</v>
      </c>
      <c r="G47" s="39">
        <v>1819</v>
      </c>
      <c r="H47" s="40">
        <v>256</v>
      </c>
      <c r="I47" s="40">
        <v>292</v>
      </c>
      <c r="J47" s="39">
        <v>2074</v>
      </c>
      <c r="K47" s="40">
        <v>410</v>
      </c>
      <c r="L47" s="39">
        <v>2485</v>
      </c>
    </row>
    <row r="48" spans="1:12" x14ac:dyDescent="0.25">
      <c r="A48" s="38"/>
      <c r="B48" s="39">
        <v>1587</v>
      </c>
      <c r="C48" s="39">
        <v>2004</v>
      </c>
      <c r="D48" s="40">
        <v>1</v>
      </c>
      <c r="E48" s="39">
        <v>1970</v>
      </c>
      <c r="F48" s="40">
        <v>21</v>
      </c>
      <c r="G48" s="39">
        <v>1991</v>
      </c>
      <c r="H48" s="40">
        <v>279</v>
      </c>
      <c r="I48" s="40">
        <v>299</v>
      </c>
      <c r="J48" s="39">
        <v>2269</v>
      </c>
      <c r="K48" s="40">
        <v>451</v>
      </c>
      <c r="L48" s="39">
        <v>2721</v>
      </c>
    </row>
    <row r="49" spans="1:12" x14ac:dyDescent="0.25">
      <c r="A49" s="38"/>
      <c r="B49" s="39">
        <v>1831</v>
      </c>
      <c r="C49" s="39">
        <v>1998</v>
      </c>
      <c r="D49" s="40">
        <v>5</v>
      </c>
      <c r="E49" s="39">
        <v>1999</v>
      </c>
      <c r="F49" s="40">
        <v>25</v>
      </c>
      <c r="G49" s="39">
        <v>2024</v>
      </c>
      <c r="H49" s="40">
        <v>283</v>
      </c>
      <c r="I49" s="40">
        <v>308</v>
      </c>
      <c r="J49" s="39">
        <v>2307</v>
      </c>
      <c r="K49" s="40">
        <v>453</v>
      </c>
      <c r="L49" s="39">
        <v>2760</v>
      </c>
    </row>
    <row r="50" spans="1:12" x14ac:dyDescent="0.25">
      <c r="A50" s="41"/>
      <c r="B50" s="42">
        <v>1624</v>
      </c>
      <c r="C50" s="42">
        <v>1859</v>
      </c>
      <c r="D50" s="43">
        <v>1</v>
      </c>
      <c r="E50" s="42">
        <v>1723</v>
      </c>
      <c r="F50" s="43">
        <v>17</v>
      </c>
      <c r="G50" s="42">
        <v>1739</v>
      </c>
      <c r="H50" s="43">
        <v>268</v>
      </c>
      <c r="I50" s="43">
        <v>284</v>
      </c>
      <c r="J50" s="42">
        <v>2007</v>
      </c>
      <c r="K50" s="43">
        <v>366</v>
      </c>
      <c r="L50" s="42">
        <v>2373</v>
      </c>
    </row>
    <row r="51" spans="1:12" x14ac:dyDescent="0.25">
      <c r="A51" s="27">
        <v>2010</v>
      </c>
      <c r="B51" s="33">
        <f>SUM(B52:B55)</f>
        <v>6599</v>
      </c>
      <c r="C51" s="33">
        <f>SUM(C52:C55)</f>
        <v>7882</v>
      </c>
      <c r="D51" s="33"/>
      <c r="E51" s="33">
        <f t="shared" ref="E51:L51" si="9">SUM(E52:E55)</f>
        <v>7767</v>
      </c>
      <c r="F51" s="33">
        <f t="shared" si="9"/>
        <v>61</v>
      </c>
      <c r="G51" s="33">
        <f t="shared" si="9"/>
        <v>7828</v>
      </c>
      <c r="H51" s="33">
        <f t="shared" si="9"/>
        <v>1153</v>
      </c>
      <c r="I51" s="33">
        <f t="shared" si="9"/>
        <v>1214</v>
      </c>
      <c r="J51" s="33">
        <f t="shared" si="9"/>
        <v>8980</v>
      </c>
      <c r="K51" s="33">
        <f t="shared" si="9"/>
        <v>1534</v>
      </c>
      <c r="L51" s="33">
        <f t="shared" si="9"/>
        <v>10514</v>
      </c>
    </row>
    <row r="52" spans="1:12" x14ac:dyDescent="0.25">
      <c r="A52" s="38"/>
      <c r="B52" s="39">
        <v>1261</v>
      </c>
      <c r="C52" s="39">
        <v>1726</v>
      </c>
      <c r="D52" s="40"/>
      <c r="E52" s="39">
        <v>1744</v>
      </c>
      <c r="F52" s="40">
        <v>24</v>
      </c>
      <c r="G52" s="39">
        <v>1768</v>
      </c>
      <c r="H52" s="40">
        <v>246</v>
      </c>
      <c r="I52" s="40">
        <v>271</v>
      </c>
      <c r="J52" s="39">
        <v>2014</v>
      </c>
      <c r="K52" s="40">
        <v>336</v>
      </c>
      <c r="L52" s="39">
        <v>2350</v>
      </c>
    </row>
    <row r="53" spans="1:12" x14ac:dyDescent="0.25">
      <c r="A53" s="38"/>
      <c r="B53" s="39">
        <v>1745</v>
      </c>
      <c r="C53" s="39">
        <v>2157</v>
      </c>
      <c r="D53" s="40"/>
      <c r="E53" s="39">
        <v>2154</v>
      </c>
      <c r="F53" s="40">
        <v>8</v>
      </c>
      <c r="G53" s="39">
        <v>2163</v>
      </c>
      <c r="H53" s="40">
        <v>345</v>
      </c>
      <c r="I53" s="40">
        <v>353</v>
      </c>
      <c r="J53" s="39">
        <v>2507</v>
      </c>
      <c r="K53" s="40">
        <v>416</v>
      </c>
      <c r="L53" s="39">
        <v>2923</v>
      </c>
    </row>
    <row r="54" spans="1:12" x14ac:dyDescent="0.25">
      <c r="A54" s="38"/>
      <c r="B54" s="39">
        <v>1880</v>
      </c>
      <c r="C54" s="39">
        <v>2203</v>
      </c>
      <c r="D54" s="40"/>
      <c r="E54" s="39">
        <v>2195</v>
      </c>
      <c r="F54" s="40">
        <v>17</v>
      </c>
      <c r="G54" s="39">
        <v>2211</v>
      </c>
      <c r="H54" s="40">
        <v>310</v>
      </c>
      <c r="I54" s="40">
        <v>326</v>
      </c>
      <c r="J54" s="39">
        <v>2521</v>
      </c>
      <c r="K54" s="40">
        <v>450</v>
      </c>
      <c r="L54" s="39">
        <v>2971</v>
      </c>
    </row>
    <row r="55" spans="1:12" x14ac:dyDescent="0.25">
      <c r="A55" s="41"/>
      <c r="B55" s="42">
        <v>1713</v>
      </c>
      <c r="C55" s="42">
        <v>1796</v>
      </c>
      <c r="D55" s="43"/>
      <c r="E55" s="42">
        <v>1674</v>
      </c>
      <c r="F55" s="43">
        <v>12</v>
      </c>
      <c r="G55" s="42">
        <v>1686</v>
      </c>
      <c r="H55" s="43">
        <v>252</v>
      </c>
      <c r="I55" s="43">
        <v>264</v>
      </c>
      <c r="J55" s="42">
        <v>1938</v>
      </c>
      <c r="K55" s="43">
        <v>332</v>
      </c>
      <c r="L55" s="42">
        <v>2270</v>
      </c>
    </row>
    <row r="56" spans="1:12" x14ac:dyDescent="0.25">
      <c r="A56" s="27">
        <v>2011</v>
      </c>
      <c r="B56" s="44">
        <f>SUM(B57:B60)</f>
        <v>7096</v>
      </c>
      <c r="C56" s="44">
        <f>SUM(C57:C60)</f>
        <v>8529</v>
      </c>
      <c r="D56" s="34"/>
      <c r="E56" s="44">
        <f t="shared" ref="E56:L56" si="10">SUM(E57:E60)</f>
        <v>8317</v>
      </c>
      <c r="F56" s="34">
        <f t="shared" si="10"/>
        <v>86</v>
      </c>
      <c r="G56" s="44">
        <f t="shared" si="10"/>
        <v>8403</v>
      </c>
      <c r="H56" s="34">
        <f t="shared" si="10"/>
        <v>1173</v>
      </c>
      <c r="I56" s="34">
        <f t="shared" si="10"/>
        <v>1258</v>
      </c>
      <c r="J56" s="44">
        <f t="shared" si="10"/>
        <v>9575</v>
      </c>
      <c r="K56" s="34">
        <f t="shared" si="10"/>
        <v>1736</v>
      </c>
      <c r="L56" s="44">
        <f t="shared" si="10"/>
        <v>11311</v>
      </c>
    </row>
    <row r="57" spans="1:12" x14ac:dyDescent="0.25">
      <c r="A57" s="38"/>
      <c r="B57" s="39">
        <v>1427</v>
      </c>
      <c r="C57" s="39">
        <v>1979</v>
      </c>
      <c r="D57" s="40"/>
      <c r="E57" s="39">
        <v>2043</v>
      </c>
      <c r="F57" s="40">
        <v>12</v>
      </c>
      <c r="G57" s="39">
        <v>2055</v>
      </c>
      <c r="H57" s="40">
        <v>281</v>
      </c>
      <c r="I57" s="40">
        <v>293</v>
      </c>
      <c r="J57" s="39">
        <v>2336</v>
      </c>
      <c r="K57" s="40">
        <v>402</v>
      </c>
      <c r="L57" s="39">
        <v>2738</v>
      </c>
    </row>
    <row r="58" spans="1:12" x14ac:dyDescent="0.25">
      <c r="A58" s="38"/>
      <c r="B58" s="39">
        <v>1791</v>
      </c>
      <c r="C58" s="39">
        <v>2245</v>
      </c>
      <c r="D58" s="40"/>
      <c r="E58" s="39">
        <v>2165</v>
      </c>
      <c r="F58" s="40">
        <v>25</v>
      </c>
      <c r="G58" s="39">
        <v>2190</v>
      </c>
      <c r="H58" s="40">
        <v>319</v>
      </c>
      <c r="I58" s="40">
        <v>343</v>
      </c>
      <c r="J58" s="39">
        <v>2508</v>
      </c>
      <c r="K58" s="40">
        <v>448</v>
      </c>
      <c r="L58" s="39">
        <v>2956</v>
      </c>
    </row>
    <row r="59" spans="1:12" x14ac:dyDescent="0.25">
      <c r="A59" s="38"/>
      <c r="B59" s="39">
        <v>2015</v>
      </c>
      <c r="C59" s="39">
        <v>2246</v>
      </c>
      <c r="D59" s="40"/>
      <c r="E59" s="39">
        <v>2200</v>
      </c>
      <c r="F59" s="40">
        <v>25</v>
      </c>
      <c r="G59" s="39">
        <v>2225</v>
      </c>
      <c r="H59" s="40">
        <v>303</v>
      </c>
      <c r="I59" s="40">
        <v>328</v>
      </c>
      <c r="J59" s="39">
        <v>2528</v>
      </c>
      <c r="K59" s="40">
        <v>494</v>
      </c>
      <c r="L59" s="39">
        <v>3022</v>
      </c>
    </row>
    <row r="60" spans="1:12" x14ac:dyDescent="0.25">
      <c r="A60" s="41"/>
      <c r="B60" s="42">
        <v>1863</v>
      </c>
      <c r="C60" s="42">
        <v>2059</v>
      </c>
      <c r="D60" s="43"/>
      <c r="E60" s="42">
        <v>1909</v>
      </c>
      <c r="F60" s="43">
        <v>24</v>
      </c>
      <c r="G60" s="42">
        <v>1933</v>
      </c>
      <c r="H60" s="43">
        <v>270</v>
      </c>
      <c r="I60" s="43">
        <v>294</v>
      </c>
      <c r="J60" s="42">
        <v>2203</v>
      </c>
      <c r="K60" s="43">
        <v>392</v>
      </c>
      <c r="L60" s="42">
        <v>2595</v>
      </c>
    </row>
    <row r="61" spans="1:12" x14ac:dyDescent="0.25">
      <c r="A61" s="27">
        <v>2012</v>
      </c>
      <c r="B61" s="33">
        <f>SUM(B62:B65)</f>
        <v>6555</v>
      </c>
      <c r="C61" s="33">
        <f>SUM(C62:C65)</f>
        <v>7952</v>
      </c>
      <c r="D61" s="33"/>
      <c r="E61" s="33">
        <f t="shared" ref="E61:L61" si="11">SUM(E62:E65)</f>
        <v>7728</v>
      </c>
      <c r="F61" s="33">
        <f t="shared" si="11"/>
        <v>62</v>
      </c>
      <c r="G61" s="33">
        <f t="shared" si="11"/>
        <v>7789</v>
      </c>
      <c r="H61" s="33">
        <f t="shared" si="11"/>
        <v>1121</v>
      </c>
      <c r="I61" s="33">
        <f t="shared" si="11"/>
        <v>1182</v>
      </c>
      <c r="J61" s="33">
        <f t="shared" si="11"/>
        <v>8910</v>
      </c>
      <c r="K61" s="33">
        <f t="shared" si="11"/>
        <v>1603</v>
      </c>
      <c r="L61" s="33">
        <f t="shared" si="11"/>
        <v>10515</v>
      </c>
    </row>
    <row r="62" spans="1:12" x14ac:dyDescent="0.25">
      <c r="A62" s="38"/>
      <c r="B62" s="39">
        <v>1366</v>
      </c>
      <c r="C62" s="39">
        <v>1880</v>
      </c>
      <c r="D62" s="40"/>
      <c r="E62" s="39">
        <v>1928</v>
      </c>
      <c r="F62" s="40">
        <v>16</v>
      </c>
      <c r="G62" s="39">
        <v>1944</v>
      </c>
      <c r="H62" s="40">
        <v>285</v>
      </c>
      <c r="I62" s="40">
        <v>301</v>
      </c>
      <c r="J62" s="39">
        <v>2229</v>
      </c>
      <c r="K62" s="40">
        <v>370</v>
      </c>
      <c r="L62" s="39">
        <v>2599</v>
      </c>
    </row>
    <row r="63" spans="1:12" x14ac:dyDescent="0.25">
      <c r="A63" s="38"/>
      <c r="B63" s="39">
        <v>1736</v>
      </c>
      <c r="C63" s="39">
        <v>2073</v>
      </c>
      <c r="D63" s="40"/>
      <c r="E63" s="39">
        <v>1974</v>
      </c>
      <c r="F63" s="40">
        <v>13</v>
      </c>
      <c r="G63" s="39">
        <v>1986</v>
      </c>
      <c r="H63" s="40">
        <v>277</v>
      </c>
      <c r="I63" s="40">
        <v>290</v>
      </c>
      <c r="J63" s="39">
        <v>2264</v>
      </c>
      <c r="K63" s="40">
        <v>389</v>
      </c>
      <c r="L63" s="39">
        <v>2653</v>
      </c>
    </row>
    <row r="64" spans="1:12" x14ac:dyDescent="0.25">
      <c r="A64" s="38"/>
      <c r="B64" s="39">
        <v>1722</v>
      </c>
      <c r="C64" s="39">
        <v>2120</v>
      </c>
      <c r="D64" s="40"/>
      <c r="E64" s="39">
        <v>2021</v>
      </c>
      <c r="F64" s="40">
        <v>13</v>
      </c>
      <c r="G64" s="39">
        <v>2034</v>
      </c>
      <c r="H64" s="40">
        <v>302</v>
      </c>
      <c r="I64" s="40">
        <v>314</v>
      </c>
      <c r="J64" s="39">
        <v>2335</v>
      </c>
      <c r="K64" s="40">
        <v>444</v>
      </c>
      <c r="L64" s="39">
        <v>2780</v>
      </c>
    </row>
    <row r="65" spans="1:13" x14ac:dyDescent="0.25">
      <c r="A65" s="41"/>
      <c r="B65" s="42">
        <v>1731</v>
      </c>
      <c r="C65" s="42">
        <v>1879</v>
      </c>
      <c r="D65" s="43"/>
      <c r="E65" s="42">
        <v>1805</v>
      </c>
      <c r="F65" s="43">
        <v>20</v>
      </c>
      <c r="G65" s="42">
        <v>1825</v>
      </c>
      <c r="H65" s="43">
        <v>257</v>
      </c>
      <c r="I65" s="43">
        <v>277</v>
      </c>
      <c r="J65" s="42">
        <v>2082</v>
      </c>
      <c r="K65" s="43">
        <v>400</v>
      </c>
      <c r="L65" s="42">
        <v>2483</v>
      </c>
    </row>
    <row r="66" spans="1:13" x14ac:dyDescent="0.25">
      <c r="A66" s="17">
        <v>2013</v>
      </c>
      <c r="B66" s="36">
        <v>6712</v>
      </c>
      <c r="C66" s="36">
        <v>8203</v>
      </c>
      <c r="D66" s="37"/>
      <c r="E66" s="36">
        <v>8204</v>
      </c>
      <c r="F66" s="37">
        <v>117</v>
      </c>
      <c r="G66" s="36">
        <v>8321</v>
      </c>
      <c r="H66" s="36">
        <v>1322</v>
      </c>
      <c r="I66" s="36">
        <v>1439</v>
      </c>
      <c r="J66" s="36">
        <v>9643</v>
      </c>
      <c r="K66" s="36">
        <v>1892</v>
      </c>
      <c r="L66" s="36">
        <v>11535</v>
      </c>
    </row>
    <row r="69" spans="1:13" ht="75" x14ac:dyDescent="0.25">
      <c r="A69" s="24" t="s">
        <v>2</v>
      </c>
      <c r="B69" s="24" t="s">
        <v>27</v>
      </c>
      <c r="C69" s="24" t="s">
        <v>28</v>
      </c>
      <c r="D69" s="24" t="s">
        <v>29</v>
      </c>
      <c r="E69" s="24" t="s">
        <v>30</v>
      </c>
      <c r="F69" s="24" t="s">
        <v>31</v>
      </c>
      <c r="G69" s="24" t="s">
        <v>36</v>
      </c>
      <c r="H69" s="24" t="s">
        <v>32</v>
      </c>
      <c r="I69" s="24" t="s">
        <v>37</v>
      </c>
      <c r="J69" s="24" t="s">
        <v>34</v>
      </c>
      <c r="K69" s="24" t="s">
        <v>35</v>
      </c>
      <c r="L69" s="24" t="s">
        <v>40</v>
      </c>
      <c r="M69" s="2"/>
    </row>
    <row r="70" spans="1:13" x14ac:dyDescent="0.25">
      <c r="A70" s="25">
        <v>2001</v>
      </c>
      <c r="B70" s="26">
        <f>10183*1000</f>
        <v>10183000</v>
      </c>
      <c r="C70" s="26">
        <f>11090*1000</f>
        <v>11090000</v>
      </c>
      <c r="D70" s="26">
        <f>206*1000</f>
        <v>206000</v>
      </c>
      <c r="E70" s="26">
        <f>10656*1000</f>
        <v>10656000</v>
      </c>
      <c r="F70" s="26">
        <f>1182*1000</f>
        <v>1182000</v>
      </c>
      <c r="G70" s="26">
        <f>11838*1000</f>
        <v>11838000</v>
      </c>
      <c r="H70" s="26">
        <f>360*1000</f>
        <v>360000</v>
      </c>
      <c r="I70" s="26">
        <f>1542*1000</f>
        <v>1542000</v>
      </c>
      <c r="J70" s="26">
        <f>12198*1000</f>
        <v>12198000</v>
      </c>
      <c r="K70" s="26">
        <f>2064*1000</f>
        <v>2064000</v>
      </c>
      <c r="L70" s="26">
        <f>14262*1000</f>
        <v>14262000</v>
      </c>
    </row>
    <row r="71" spans="1:13" x14ac:dyDescent="0.25">
      <c r="A71" s="25">
        <v>2002</v>
      </c>
      <c r="B71" s="26">
        <f>10327*1000</f>
        <v>10327000</v>
      </c>
      <c r="C71" s="26">
        <f>11089*1000</f>
        <v>11089000</v>
      </c>
      <c r="D71" s="26">
        <f>146*1000</f>
        <v>146000</v>
      </c>
      <c r="E71" s="26">
        <f>10762*1000</f>
        <v>10762000</v>
      </c>
      <c r="F71" s="26">
        <f>966*1000</f>
        <v>966000</v>
      </c>
      <c r="G71" s="26">
        <f>11728*1000</f>
        <v>11728000</v>
      </c>
      <c r="H71" s="26">
        <f>452*1000</f>
        <v>452000</v>
      </c>
      <c r="I71" s="26">
        <f>1418*1000</f>
        <v>1418000</v>
      </c>
      <c r="J71" s="26">
        <f>12180*1000</f>
        <v>12180000</v>
      </c>
      <c r="K71" s="26">
        <f>2175*1000</f>
        <v>2175000</v>
      </c>
      <c r="L71" s="26">
        <f>14355*1000</f>
        <v>14355000</v>
      </c>
    </row>
    <row r="72" spans="1:13" x14ac:dyDescent="0.25">
      <c r="A72" s="25">
        <v>2003</v>
      </c>
      <c r="B72" s="26">
        <f>10146*1000</f>
        <v>10146000</v>
      </c>
      <c r="C72" s="26">
        <f>11215*1000</f>
        <v>11215000</v>
      </c>
      <c r="D72" s="26">
        <f>164*1000</f>
        <v>164000</v>
      </c>
      <c r="E72" s="26">
        <f>11072*1000</f>
        <v>11072000</v>
      </c>
      <c r="F72" s="26">
        <f>576*1000</f>
        <v>576000</v>
      </c>
      <c r="G72" s="26">
        <f>11648*1000</f>
        <v>11648000</v>
      </c>
      <c r="H72" s="26">
        <f>646*1000</f>
        <v>646000</v>
      </c>
      <c r="I72" s="26">
        <f>1222*1000</f>
        <v>1222000</v>
      </c>
      <c r="J72" s="26">
        <f>12294*1000</f>
        <v>12294000</v>
      </c>
      <c r="K72" s="26">
        <f>2328*1000</f>
        <v>2328000</v>
      </c>
      <c r="L72" s="26">
        <f>14622*1000</f>
        <v>14622000</v>
      </c>
    </row>
    <row r="73" spans="1:13" x14ac:dyDescent="0.25">
      <c r="A73" s="25">
        <v>2004</v>
      </c>
      <c r="B73" s="26">
        <f>10402*1000</f>
        <v>10402000</v>
      </c>
      <c r="C73" s="26">
        <f>11405*1000</f>
        <v>11405000</v>
      </c>
      <c r="D73" s="26">
        <f>141*1000</f>
        <v>141000</v>
      </c>
      <c r="E73" s="26">
        <f>11074*1000</f>
        <v>11074000</v>
      </c>
      <c r="F73" s="26">
        <f>609*1000</f>
        <v>609000</v>
      </c>
      <c r="G73" s="26">
        <f>11683*1000</f>
        <v>11683000</v>
      </c>
      <c r="H73" s="26">
        <f>825*1000</f>
        <v>825000</v>
      </c>
      <c r="I73" s="26">
        <f>1434*1000</f>
        <v>1434000</v>
      </c>
      <c r="J73" s="26">
        <f>12508*1000</f>
        <v>12508000</v>
      </c>
      <c r="K73" s="26">
        <f>2443*1000</f>
        <v>2443000</v>
      </c>
      <c r="L73" s="26">
        <f>14951*1000</f>
        <v>14951000</v>
      </c>
    </row>
    <row r="74" spans="1:13" x14ac:dyDescent="0.25">
      <c r="A74" s="25">
        <v>2005</v>
      </c>
      <c r="B74" s="26">
        <f>10074*1000</f>
        <v>10074000</v>
      </c>
      <c r="C74" s="26">
        <f>11216*1000</f>
        <v>11216000</v>
      </c>
      <c r="D74" s="26">
        <f>110*1000</f>
        <v>110000</v>
      </c>
      <c r="E74" s="26">
        <f>11004*1000</f>
        <v>11004000</v>
      </c>
      <c r="F74" s="26">
        <f>306*1000</f>
        <v>306000</v>
      </c>
      <c r="G74" s="26">
        <f>11310*1000</f>
        <v>11310000</v>
      </c>
      <c r="H74" s="26">
        <f>971*1000</f>
        <v>971000</v>
      </c>
      <c r="I74" s="26">
        <f>1277*1000</f>
        <v>1277000</v>
      </c>
      <c r="J74" s="26">
        <f>12281*1000</f>
        <v>12281000</v>
      </c>
      <c r="K74" s="26">
        <f>2449*1000</f>
        <v>2449000</v>
      </c>
      <c r="L74" s="26">
        <f>14730*1000</f>
        <v>14730000</v>
      </c>
    </row>
    <row r="75" spans="1:13" x14ac:dyDescent="0.25">
      <c r="A75" s="25">
        <v>2006</v>
      </c>
      <c r="B75" s="26">
        <f>10066*1000</f>
        <v>10066000</v>
      </c>
      <c r="C75" s="26">
        <f>11469*1000</f>
        <v>11469000</v>
      </c>
      <c r="D75" s="26">
        <f>126*1000</f>
        <v>126000</v>
      </c>
      <c r="E75" s="26">
        <f>11223*1000</f>
        <v>11223000</v>
      </c>
      <c r="F75" s="26">
        <f>122*1000</f>
        <v>122000</v>
      </c>
      <c r="G75" s="26">
        <f>11344*1000</f>
        <v>11344000</v>
      </c>
      <c r="H75" s="26">
        <f>1089*1000</f>
        <v>1089000</v>
      </c>
      <c r="I75" s="26">
        <f>1210*1000</f>
        <v>1210000</v>
      </c>
      <c r="J75" s="26">
        <f>12432*1000</f>
        <v>12432000</v>
      </c>
      <c r="K75" s="26">
        <f>2650*1000</f>
        <v>2650000</v>
      </c>
      <c r="L75" s="26">
        <f>15082*1000</f>
        <v>15082000</v>
      </c>
    </row>
    <row r="76" spans="1:13" x14ac:dyDescent="0.25">
      <c r="A76" s="25">
        <v>2007</v>
      </c>
      <c r="B76" s="26">
        <f>10228*1000</f>
        <v>10228000</v>
      </c>
      <c r="C76" s="26">
        <f>11888*1000</f>
        <v>11888000</v>
      </c>
      <c r="D76" s="26">
        <f>73*1000</f>
        <v>73000</v>
      </c>
      <c r="E76" s="26">
        <f>11649*1000</f>
        <v>11649000</v>
      </c>
      <c r="F76" s="26">
        <f>255*1000</f>
        <v>255000</v>
      </c>
      <c r="G76" s="26">
        <f>11906*1000</f>
        <v>11906000</v>
      </c>
      <c r="H76" s="26">
        <f>1121*1000</f>
        <v>1121000</v>
      </c>
      <c r="I76" s="26">
        <f>1376*1000</f>
        <v>1376000</v>
      </c>
      <c r="J76" s="26">
        <f>13025*1000</f>
        <v>13025000</v>
      </c>
      <c r="K76" s="26">
        <f>2758*1000</f>
        <v>2758000</v>
      </c>
      <c r="L76" s="26">
        <f>15783*1000</f>
        <v>15783000</v>
      </c>
    </row>
    <row r="77" spans="1:13" x14ac:dyDescent="0.25">
      <c r="A77" s="25">
        <v>2008</v>
      </c>
      <c r="B77" s="26">
        <f>8702*1000</f>
        <v>8702000</v>
      </c>
      <c r="C77" s="26">
        <f>10074*1000</f>
        <v>10074000</v>
      </c>
      <c r="D77" s="26">
        <f>59*1000</f>
        <v>59000</v>
      </c>
      <c r="E77" s="26">
        <f>9861*1000</f>
        <v>9861000</v>
      </c>
      <c r="F77" s="26">
        <f>283*1000</f>
        <v>283000</v>
      </c>
      <c r="G77" s="26">
        <f>10144*1000</f>
        <v>10144000</v>
      </c>
      <c r="H77" s="26">
        <f>1084*1000</f>
        <v>1084000</v>
      </c>
      <c r="I77" s="26">
        <f>1367*1000</f>
        <v>1367000</v>
      </c>
      <c r="J77" s="26">
        <f>11228*1000</f>
        <v>11228000</v>
      </c>
      <c r="K77" s="26">
        <f>2433*1000</f>
        <v>2433000</v>
      </c>
      <c r="L77" s="26">
        <f>13660*1000</f>
        <v>13660000</v>
      </c>
    </row>
    <row r="78" spans="1:13" x14ac:dyDescent="0.25">
      <c r="A78" s="25">
        <v>2009</v>
      </c>
      <c r="B78" s="26">
        <f>6420*1000</f>
        <v>6420000</v>
      </c>
      <c r="C78" s="26">
        <f>7623*1000</f>
        <v>7623000</v>
      </c>
      <c r="D78" s="26">
        <f>21*1000</f>
        <v>21000</v>
      </c>
      <c r="E78" s="26">
        <f>7474*1000</f>
        <v>7474000</v>
      </c>
      <c r="F78" s="26">
        <f>100*1000</f>
        <v>100000</v>
      </c>
      <c r="G78" s="26">
        <f>7573*1000</f>
        <v>7573000</v>
      </c>
      <c r="H78" s="26">
        <f>1086*1000</f>
        <v>1086000</v>
      </c>
      <c r="I78" s="26">
        <f>1183*1000</f>
        <v>1183000</v>
      </c>
      <c r="J78" s="26">
        <f>8657*1000</f>
        <v>8657000</v>
      </c>
      <c r="K78" s="26">
        <f>1680*1000</f>
        <v>1680000</v>
      </c>
      <c r="L78" s="26">
        <f>10339*1000</f>
        <v>10339000</v>
      </c>
    </row>
    <row r="79" spans="1:13" x14ac:dyDescent="0.25">
      <c r="A79" s="25">
        <v>2010</v>
      </c>
      <c r="B79" s="26">
        <f>6599*1000</f>
        <v>6599000</v>
      </c>
      <c r="C79" s="26">
        <f>7882*1000</f>
        <v>7882000</v>
      </c>
      <c r="D79" s="26"/>
      <c r="E79" s="26">
        <f>7767*1000</f>
        <v>7767000</v>
      </c>
      <c r="F79" s="26">
        <f>61*1000</f>
        <v>61000</v>
      </c>
      <c r="G79" s="26">
        <f>7828*1000</f>
        <v>7828000</v>
      </c>
      <c r="H79" s="26">
        <f>1153*1000</f>
        <v>1153000</v>
      </c>
      <c r="I79" s="26">
        <f>1214*1000</f>
        <v>1214000</v>
      </c>
      <c r="J79" s="26">
        <f>8980*1000</f>
        <v>8980000</v>
      </c>
      <c r="K79" s="26">
        <f>1534*1000</f>
        <v>1534000</v>
      </c>
      <c r="L79" s="26">
        <f>10514*1000</f>
        <v>10514000</v>
      </c>
    </row>
    <row r="80" spans="1:13" x14ac:dyDescent="0.25">
      <c r="A80" s="25">
        <v>2011</v>
      </c>
      <c r="B80" s="26">
        <f>7096*1000</f>
        <v>7096000</v>
      </c>
      <c r="C80" s="26">
        <f>8529*1000</f>
        <v>8529000</v>
      </c>
      <c r="D80" s="26"/>
      <c r="E80" s="26">
        <f>8317*1000</f>
        <v>8317000</v>
      </c>
      <c r="F80" s="26">
        <f>86*1000</f>
        <v>86000</v>
      </c>
      <c r="G80" s="26">
        <f>8403*1000</f>
        <v>8403000</v>
      </c>
      <c r="H80" s="26">
        <f>1173*1000</f>
        <v>1173000</v>
      </c>
      <c r="I80" s="26">
        <f>1258*1000</f>
        <v>1258000</v>
      </c>
      <c r="J80" s="26">
        <f>9575*1000</f>
        <v>9575000</v>
      </c>
      <c r="K80" s="26">
        <f>1736*1000</f>
        <v>1736000</v>
      </c>
      <c r="L80" s="26">
        <f>11311*1000</f>
        <v>11311000</v>
      </c>
    </row>
    <row r="81" spans="1:12" x14ac:dyDescent="0.25">
      <c r="A81" s="25">
        <v>2012</v>
      </c>
      <c r="B81" s="26">
        <f>6555*1000</f>
        <v>6555000</v>
      </c>
      <c r="C81" s="26">
        <f>7952*1000</f>
        <v>7952000</v>
      </c>
      <c r="D81" s="26"/>
      <c r="E81" s="26">
        <f>7728*1000</f>
        <v>7728000</v>
      </c>
      <c r="F81" s="26">
        <f>62*1000</f>
        <v>62000</v>
      </c>
      <c r="G81" s="26">
        <f>7789*1000</f>
        <v>7789000</v>
      </c>
      <c r="H81" s="26">
        <f>1121*1000</f>
        <v>1121000</v>
      </c>
      <c r="I81" s="26">
        <f>1182*1000</f>
        <v>1182000</v>
      </c>
      <c r="J81" s="26">
        <f>8910*1000</f>
        <v>8910000</v>
      </c>
      <c r="K81" s="26">
        <f>1603*1000</f>
        <v>1603000</v>
      </c>
      <c r="L81" s="26">
        <f>10515*1000</f>
        <v>10515000</v>
      </c>
    </row>
    <row r="82" spans="1:12" x14ac:dyDescent="0.25">
      <c r="A82" s="25">
        <v>2013</v>
      </c>
      <c r="B82" s="26">
        <f>6712*1000</f>
        <v>6712000</v>
      </c>
      <c r="C82" s="26">
        <f>8203*1000</f>
        <v>8203000</v>
      </c>
      <c r="D82" s="26"/>
      <c r="E82" s="26">
        <f>8204*1000</f>
        <v>8204000</v>
      </c>
      <c r="F82" s="26">
        <f>117*1000</f>
        <v>117000</v>
      </c>
      <c r="G82" s="26">
        <f>8321*1000</f>
        <v>8321000</v>
      </c>
      <c r="H82" s="26">
        <f>1322*1000</f>
        <v>1322000</v>
      </c>
      <c r="I82" s="26">
        <f>1439*1000</f>
        <v>1439000</v>
      </c>
      <c r="J82" s="26">
        <f>9643*1000</f>
        <v>9643000</v>
      </c>
      <c r="K82" s="26">
        <f>1892*1000</f>
        <v>1892000</v>
      </c>
      <c r="L82" s="26">
        <f>11535*1000</f>
        <v>11535000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6"/>
  <sheetViews>
    <sheetView workbookViewId="0">
      <selection activeCell="F4" sqref="F4"/>
    </sheetView>
  </sheetViews>
  <sheetFormatPr defaultRowHeight="15" x14ac:dyDescent="0.25"/>
  <cols>
    <col min="1" max="1" width="50.5703125" customWidth="1"/>
    <col min="2" max="6" width="12.140625" customWidth="1"/>
  </cols>
  <sheetData>
    <row r="2" spans="1:6" ht="15.75" x14ac:dyDescent="0.25">
      <c r="A2" s="50" t="s">
        <v>41</v>
      </c>
      <c r="B2" s="17">
        <v>2008</v>
      </c>
      <c r="C2" s="17">
        <v>2009</v>
      </c>
      <c r="D2" s="17">
        <v>2010</v>
      </c>
      <c r="E2" s="17">
        <v>2011</v>
      </c>
      <c r="F2" s="17">
        <v>2012</v>
      </c>
    </row>
    <row r="3" spans="1:6" ht="17.25" customHeight="1" x14ac:dyDescent="0.25">
      <c r="A3" s="48" t="s">
        <v>42</v>
      </c>
      <c r="B3" s="48">
        <v>187</v>
      </c>
      <c r="C3" s="49">
        <v>147</v>
      </c>
      <c r="D3" s="49">
        <v>148</v>
      </c>
      <c r="E3" s="48">
        <v>147</v>
      </c>
      <c r="F3" s="48">
        <v>135</v>
      </c>
    </row>
    <row r="4" spans="1:6" ht="17.25" customHeight="1" x14ac:dyDescent="0.25">
      <c r="A4" s="40" t="s">
        <v>43</v>
      </c>
      <c r="B4" s="40">
        <v>68.5</v>
      </c>
      <c r="C4" s="46">
        <v>56.5</v>
      </c>
      <c r="D4" s="46">
        <v>57.6</v>
      </c>
      <c r="E4" s="40">
        <v>60</v>
      </c>
      <c r="F4" s="40">
        <v>54</v>
      </c>
    </row>
    <row r="5" spans="1:6" ht="17.25" customHeight="1" x14ac:dyDescent="0.25">
      <c r="A5" s="40" t="s">
        <v>44</v>
      </c>
      <c r="B5" s="40">
        <v>20.100000000000001</v>
      </c>
      <c r="C5" s="46">
        <v>14.4</v>
      </c>
      <c r="D5" s="46">
        <v>14.3</v>
      </c>
      <c r="E5" s="40">
        <v>15.3</v>
      </c>
      <c r="F5" s="40">
        <v>13.9</v>
      </c>
    </row>
    <row r="6" spans="1:6" ht="17.25" customHeight="1" x14ac:dyDescent="0.25">
      <c r="A6" s="40" t="s">
        <v>45</v>
      </c>
      <c r="B6" s="40">
        <v>10.1</v>
      </c>
      <c r="C6" s="46">
        <v>7.6</v>
      </c>
      <c r="D6" s="46">
        <v>7.8</v>
      </c>
      <c r="E6" s="40">
        <v>8.4</v>
      </c>
      <c r="F6" s="40">
        <v>7.8</v>
      </c>
    </row>
    <row r="7" spans="1:6" ht="17.25" customHeight="1" x14ac:dyDescent="0.25">
      <c r="A7" s="40" t="s">
        <v>46</v>
      </c>
      <c r="B7" s="40">
        <v>13.7</v>
      </c>
      <c r="C7" s="46">
        <v>10.3</v>
      </c>
      <c r="D7" s="46">
        <v>10.5</v>
      </c>
      <c r="E7" s="40">
        <v>11.3</v>
      </c>
      <c r="F7" s="40">
        <v>10.5</v>
      </c>
    </row>
    <row r="8" spans="1:6" ht="17.25" customHeight="1" x14ac:dyDescent="0.25">
      <c r="A8" s="40" t="s">
        <v>47</v>
      </c>
      <c r="B8" s="46" t="s">
        <v>57</v>
      </c>
      <c r="C8" s="46" t="s">
        <v>48</v>
      </c>
      <c r="D8" s="46" t="s">
        <v>49</v>
      </c>
      <c r="E8" s="46" t="s">
        <v>53</v>
      </c>
      <c r="F8" s="46" t="s">
        <v>54</v>
      </c>
    </row>
    <row r="9" spans="1:6" ht="17.25" customHeight="1" x14ac:dyDescent="0.25">
      <c r="A9" s="43" t="s">
        <v>50</v>
      </c>
      <c r="B9" s="47" t="s">
        <v>58</v>
      </c>
      <c r="C9" s="47" t="s">
        <v>52</v>
      </c>
      <c r="D9" s="47" t="s">
        <v>51</v>
      </c>
      <c r="E9" s="47" t="s">
        <v>55</v>
      </c>
      <c r="F9" s="47" t="s">
        <v>56</v>
      </c>
    </row>
    <row r="10" spans="1:6" ht="17.25" customHeight="1" x14ac:dyDescent="0.25"/>
    <row r="11" spans="1:6" ht="17.25" customHeight="1" x14ac:dyDescent="0.25"/>
    <row r="12" spans="1:6" ht="17.25" customHeight="1" x14ac:dyDescent="0.25"/>
    <row r="13" spans="1:6" ht="17.25" customHeight="1" x14ac:dyDescent="0.25"/>
    <row r="14" spans="1:6" ht="17.25" customHeight="1" x14ac:dyDescent="0.25"/>
    <row r="15" spans="1:6" ht="17.25" customHeight="1" x14ac:dyDescent="0.25"/>
    <row r="16" spans="1:6" ht="17.25" customHeight="1" x14ac:dyDescent="0.25"/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7" width="13.42578125" customWidth="1"/>
  </cols>
  <sheetData>
    <row r="1" spans="1:7" x14ac:dyDescent="0.25">
      <c r="B1" s="1" t="s">
        <v>59</v>
      </c>
    </row>
    <row r="3" spans="1:7" x14ac:dyDescent="0.25">
      <c r="A3" s="61"/>
      <c r="B3" s="60" t="s">
        <v>60</v>
      </c>
      <c r="C3" s="60"/>
      <c r="D3" s="60"/>
      <c r="E3" s="60"/>
      <c r="F3" s="60"/>
      <c r="G3" s="60"/>
    </row>
    <row r="4" spans="1:7" x14ac:dyDescent="0.25">
      <c r="A4" s="62"/>
      <c r="B4" s="54">
        <v>2008</v>
      </c>
      <c r="C4" s="54">
        <v>2009</v>
      </c>
      <c r="D4" s="54">
        <v>2010</v>
      </c>
      <c r="E4" s="54">
        <v>2011</v>
      </c>
      <c r="F4" s="54">
        <v>2012</v>
      </c>
      <c r="G4" s="54">
        <v>2013</v>
      </c>
    </row>
    <row r="5" spans="1:7" x14ac:dyDescent="0.25">
      <c r="A5" s="48" t="s">
        <v>61</v>
      </c>
      <c r="B5" s="52">
        <v>5</v>
      </c>
      <c r="C5" s="52">
        <v>4.4000000000000004</v>
      </c>
      <c r="D5" s="52">
        <v>2</v>
      </c>
      <c r="E5" s="53">
        <v>1.4</v>
      </c>
      <c r="F5" s="53">
        <v>1.4</v>
      </c>
      <c r="G5" s="53"/>
    </row>
    <row r="6" spans="1:7" x14ac:dyDescent="0.25">
      <c r="A6" s="43" t="s">
        <v>70</v>
      </c>
      <c r="B6" s="51"/>
      <c r="C6" s="51">
        <v>4.7</v>
      </c>
      <c r="D6" s="51">
        <v>2.1</v>
      </c>
      <c r="E6" s="51">
        <v>1.6</v>
      </c>
      <c r="F6" s="51">
        <v>1.5</v>
      </c>
      <c r="G6" s="51"/>
    </row>
    <row r="13" spans="1:7" x14ac:dyDescent="0.25">
      <c r="A13" s="37" t="s">
        <v>62</v>
      </c>
      <c r="B13" s="54">
        <v>2008</v>
      </c>
      <c r="C13" s="54">
        <v>2009</v>
      </c>
      <c r="D13" s="54">
        <v>2010</v>
      </c>
      <c r="E13" s="54">
        <v>2011</v>
      </c>
      <c r="F13" s="54">
        <v>2012</v>
      </c>
      <c r="G13" s="54">
        <v>2013</v>
      </c>
    </row>
    <row r="14" spans="1:7" x14ac:dyDescent="0.25">
      <c r="A14" s="25"/>
      <c r="B14" s="55" t="s">
        <v>63</v>
      </c>
      <c r="C14" s="56" t="s">
        <v>64</v>
      </c>
      <c r="D14" s="56" t="s">
        <v>66</v>
      </c>
      <c r="E14" s="56" t="s">
        <v>67</v>
      </c>
      <c r="F14" s="56" t="s">
        <v>68</v>
      </c>
      <c r="G14" s="25"/>
    </row>
    <row r="18" spans="1:7" x14ac:dyDescent="0.25">
      <c r="A18" s="1" t="s">
        <v>69</v>
      </c>
    </row>
    <row r="20" spans="1:7" x14ac:dyDescent="0.25">
      <c r="A20" s="25"/>
      <c r="B20" s="54">
        <v>2008</v>
      </c>
      <c r="C20" s="54">
        <v>2009</v>
      </c>
      <c r="D20" s="54">
        <v>2010</v>
      </c>
      <c r="E20" s="54">
        <v>2011</v>
      </c>
      <c r="F20" s="54">
        <v>2012</v>
      </c>
      <c r="G20" s="54">
        <v>2013</v>
      </c>
    </row>
    <row r="21" spans="1:7" ht="75" x14ac:dyDescent="0.25">
      <c r="A21" s="57" t="s">
        <v>65</v>
      </c>
      <c r="B21" s="58">
        <v>5.3</v>
      </c>
      <c r="C21" s="58">
        <v>3.9</v>
      </c>
      <c r="D21" s="58">
        <v>5.8</v>
      </c>
      <c r="E21" s="58">
        <v>5.3</v>
      </c>
      <c r="F21" s="59">
        <v>5</v>
      </c>
      <c r="G21" s="58"/>
    </row>
  </sheetData>
  <mergeCells count="2">
    <mergeCell ref="B3:G3"/>
    <mergeCell ref="A3:A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Cement for sale 2003-2013</vt:lpstr>
      <vt:lpstr>Cement Regional Sales 2001-2013</vt:lpstr>
      <vt:lpstr>Cementitious 2001-2013</vt:lpstr>
      <vt:lpstr>Cement, concrete, aggr_MPA data</vt:lpstr>
      <vt:lpstr>Recycled Waste to Concrete </vt:lpstr>
    </vt:vector>
  </TitlesOfParts>
  <Company>Newcastle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Napaporn Tangtinthai</dc:creator>
  <cp:lastModifiedBy>Napaporn Tangtinthai</cp:lastModifiedBy>
  <dcterms:created xsi:type="dcterms:W3CDTF">2014-09-02T11:00:58Z</dcterms:created>
  <dcterms:modified xsi:type="dcterms:W3CDTF">2014-09-23T15:08:18Z</dcterms:modified>
</cp:coreProperties>
</file>