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ernando Marques CGO membranes\CGO13\Manuscript\Raw data for submission\CSV file forma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V20" i="1" l="1"/>
  <c r="J32" i="1"/>
  <c r="K32" i="1" s="1"/>
  <c r="N32" i="1" s="1"/>
  <c r="Y30" i="1" s="1"/>
  <c r="J31" i="1"/>
  <c r="K31" i="1" s="1"/>
  <c r="N31" i="1" s="1"/>
  <c r="V30" i="1" s="1"/>
  <c r="L30" i="1"/>
  <c r="S32" i="1" s="1"/>
  <c r="J30" i="1"/>
  <c r="K30" i="1" s="1"/>
  <c r="N30" i="1" s="1"/>
  <c r="S30" i="1" s="1"/>
  <c r="J22" i="1"/>
  <c r="K22" i="1" s="1"/>
  <c r="N22" i="1" s="1"/>
  <c r="Y20" i="1" s="1"/>
  <c r="J21" i="1"/>
  <c r="K21" i="1" s="1"/>
  <c r="N21" i="1" s="1"/>
  <c r="L20" i="1"/>
  <c r="S22" i="1" s="1"/>
  <c r="J20" i="1"/>
  <c r="K20" i="1" s="1"/>
  <c r="N20" i="1" s="1"/>
  <c r="S20" i="1" s="1"/>
  <c r="Q20" i="1" l="1"/>
  <c r="Q21" i="1" s="1"/>
  <c r="T20" i="1"/>
  <c r="T21" i="1" s="1"/>
  <c r="W20" i="1"/>
  <c r="W21" i="1" s="1"/>
  <c r="Q30" i="1"/>
  <c r="Q31" i="1" s="1"/>
  <c r="T30" i="1"/>
  <c r="T31" i="1" s="1"/>
  <c r="W30" i="1"/>
  <c r="W31" i="1" s="1"/>
  <c r="R28" i="1"/>
  <c r="R18" i="1"/>
  <c r="G32" i="1"/>
  <c r="G31" i="1"/>
  <c r="G30" i="1"/>
  <c r="M30" i="1" s="1"/>
  <c r="S31" i="1" s="1"/>
  <c r="G22" i="1"/>
  <c r="G21" i="1"/>
  <c r="G20" i="1"/>
  <c r="M20" i="1" s="1"/>
  <c r="S21" i="1" s="1"/>
  <c r="C30" i="1"/>
  <c r="B30" i="1"/>
  <c r="C20" i="1"/>
  <c r="B20" i="1"/>
  <c r="A31" i="1"/>
  <c r="B31" i="1" s="1"/>
  <c r="A21" i="1"/>
  <c r="G12" i="1"/>
  <c r="G11" i="1"/>
  <c r="G10" i="1"/>
  <c r="J12" i="1"/>
  <c r="K12" i="1" s="1"/>
  <c r="J11" i="1"/>
  <c r="K11" i="1" s="1"/>
  <c r="J10" i="1"/>
  <c r="K10" i="1" s="1"/>
  <c r="C10" i="1"/>
  <c r="Z8" i="1" s="1"/>
  <c r="B10" i="1"/>
  <c r="A11" i="1"/>
  <c r="A12" i="1" l="1"/>
  <c r="L11" i="1"/>
  <c r="N11" i="1"/>
  <c r="V10" i="1" s="1"/>
  <c r="T10" i="1"/>
  <c r="T11" i="1" s="1"/>
  <c r="Z6" i="1"/>
  <c r="N10" i="1"/>
  <c r="S10" i="1" s="1"/>
  <c r="Q10" i="1"/>
  <c r="Q11" i="1" s="1"/>
  <c r="N12" i="1"/>
  <c r="Y10" i="1" s="1"/>
  <c r="W10" i="1"/>
  <c r="W11" i="1" s="1"/>
  <c r="D20" i="1"/>
  <c r="O20" i="1" s="1"/>
  <c r="D30" i="1"/>
  <c r="O30" i="1" s="1"/>
  <c r="S12" i="1"/>
  <c r="R8" i="1"/>
  <c r="A22" i="1"/>
  <c r="L21" i="1"/>
  <c r="B21" i="1"/>
  <c r="D21" i="1" s="1"/>
  <c r="A32" i="1"/>
  <c r="L31" i="1"/>
  <c r="C21" i="1"/>
  <c r="C31" i="1"/>
  <c r="D31" i="1" s="1"/>
  <c r="M11" i="1"/>
  <c r="V11" i="1" s="1"/>
  <c r="M10" i="1"/>
  <c r="S11" i="1" s="1"/>
  <c r="C12" i="1"/>
  <c r="D10" i="1"/>
  <c r="O10" i="1" s="1"/>
  <c r="C11" i="1"/>
  <c r="AA8" i="1" s="1"/>
  <c r="B11" i="1"/>
  <c r="AA6" i="1" s="1"/>
  <c r="AB8" i="1" l="1"/>
  <c r="B12" i="1"/>
  <c r="AB6" i="1" s="1"/>
  <c r="L12" i="1"/>
  <c r="Y12" i="1" s="1"/>
  <c r="V32" i="1"/>
  <c r="U28" i="1"/>
  <c r="P30" i="1"/>
  <c r="R27" i="1" s="1"/>
  <c r="Q27" i="1"/>
  <c r="Q33" i="1" s="1"/>
  <c r="V12" i="1"/>
  <c r="U8" i="1"/>
  <c r="P10" i="1"/>
  <c r="R7" i="1" s="1"/>
  <c r="Q7" i="1"/>
  <c r="Q13" i="1" s="1"/>
  <c r="V22" i="1"/>
  <c r="U18" i="1"/>
  <c r="P20" i="1"/>
  <c r="R17" i="1" s="1"/>
  <c r="Q17" i="1"/>
  <c r="Q23" i="1" s="1"/>
  <c r="L32" i="1"/>
  <c r="C32" i="1"/>
  <c r="B32" i="1"/>
  <c r="D32" i="1" s="1"/>
  <c r="M21" i="1"/>
  <c r="V21" i="1" s="1"/>
  <c r="O31" i="1"/>
  <c r="M31" i="1"/>
  <c r="V31" i="1" s="1"/>
  <c r="O21" i="1"/>
  <c r="L22" i="1"/>
  <c r="C22" i="1"/>
  <c r="B22" i="1"/>
  <c r="D11" i="1"/>
  <c r="O11" i="1" s="1"/>
  <c r="D22" i="1" l="1"/>
  <c r="M12" i="1"/>
  <c r="Y11" i="1" s="1"/>
  <c r="X8" i="1"/>
  <c r="D12" i="1"/>
  <c r="O12" i="1" s="1"/>
  <c r="P12" i="1" s="1"/>
  <c r="X7" i="1" s="1"/>
  <c r="Y32" i="1"/>
  <c r="X28" i="1"/>
  <c r="P31" i="1"/>
  <c r="U27" i="1" s="1"/>
  <c r="T27" i="1"/>
  <c r="P11" i="1"/>
  <c r="U7" i="1" s="1"/>
  <c r="T7" i="1"/>
  <c r="Y22" i="1"/>
  <c r="X18" i="1"/>
  <c r="P21" i="1"/>
  <c r="U17" i="1" s="1"/>
  <c r="T17" i="1"/>
  <c r="O22" i="1"/>
  <c r="M22" i="1"/>
  <c r="Y21" i="1" s="1"/>
  <c r="O32" i="1"/>
  <c r="M32" i="1"/>
  <c r="Y31" i="1" s="1"/>
  <c r="W7" i="1" l="1"/>
  <c r="W13" i="1" s="1"/>
  <c r="P32" i="1"/>
  <c r="X27" i="1" s="1"/>
  <c r="W27" i="1"/>
  <c r="W33" i="1" s="1"/>
  <c r="P22" i="1"/>
  <c r="X17" i="1" s="1"/>
  <c r="W17" i="1"/>
  <c r="W23" i="1" s="1"/>
</calcChain>
</file>

<file path=xl/sharedStrings.xml><?xml version="1.0" encoding="utf-8"?>
<sst xmlns="http://schemas.openxmlformats.org/spreadsheetml/2006/main" count="129" uniqueCount="42">
  <si>
    <t>NLC</t>
  </si>
  <si>
    <t>CGO</t>
  </si>
  <si>
    <t>Flux ml/ min.cm2</t>
  </si>
  <si>
    <t>J A/cm2</t>
  </si>
  <si>
    <t>Vo</t>
  </si>
  <si>
    <t>VMC</t>
  </si>
  <si>
    <t>VSO</t>
  </si>
  <si>
    <t>[CO2] perm ppm</t>
  </si>
  <si>
    <r>
      <rPr>
        <sz val="11"/>
        <color rgb="FF000000"/>
        <rFont val="Symbol"/>
        <family val="1"/>
        <charset val="2"/>
      </rPr>
      <t>s</t>
    </r>
    <r>
      <rPr>
        <vertAlign val="subscript"/>
        <sz val="11"/>
        <color rgb="FF000000"/>
        <rFont val="Calibri"/>
        <family val="2"/>
      </rPr>
      <t>comp</t>
    </r>
    <r>
      <rPr>
        <sz val="11"/>
        <color theme="1"/>
        <rFont val="Calibri"/>
        <family val="2"/>
        <scheme val="minor"/>
      </rPr>
      <t xml:space="preserve"> (S/cm)</t>
    </r>
  </si>
  <si>
    <r>
      <rPr>
        <sz val="11"/>
        <color rgb="FF000000"/>
        <rFont val="Symbol"/>
        <family val="1"/>
        <charset val="2"/>
      </rPr>
      <t>s</t>
    </r>
    <r>
      <rPr>
        <vertAlign val="subscript"/>
        <sz val="11"/>
        <color rgb="FF000000"/>
        <rFont val="Calibri"/>
        <family val="2"/>
      </rPr>
      <t>nlc</t>
    </r>
    <r>
      <rPr>
        <sz val="11"/>
        <color theme="1"/>
        <rFont val="Calibri"/>
        <family val="2"/>
        <scheme val="minor"/>
      </rPr>
      <t xml:space="preserve"> (S/cm)</t>
    </r>
  </si>
  <si>
    <t>Ea kJ/mol</t>
  </si>
  <si>
    <t>real</t>
  </si>
  <si>
    <t>Flux mol/cm2s</t>
  </si>
  <si>
    <t>CGO13old</t>
  </si>
  <si>
    <r>
      <rPr>
        <sz val="11"/>
        <color rgb="FF000000"/>
        <rFont val="Symbol"/>
        <family val="1"/>
        <charset val="2"/>
      </rPr>
      <t>s</t>
    </r>
    <r>
      <rPr>
        <vertAlign val="subscript"/>
        <sz val="11"/>
        <color rgb="FF000000"/>
        <rFont val="Calibri"/>
        <family val="2"/>
      </rPr>
      <t>skel</t>
    </r>
    <r>
      <rPr>
        <sz val="11"/>
        <color theme="1"/>
        <rFont val="Calibri"/>
        <family val="2"/>
        <scheme val="minor"/>
      </rPr>
      <t xml:space="preserve"> (S/cm)</t>
    </r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</si>
  <si>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S/cm</t>
    </r>
  </si>
  <si>
    <t>impedance data</t>
  </si>
  <si>
    <t>literature</t>
  </si>
  <si>
    <t>ideal</t>
  </si>
  <si>
    <t>V</t>
  </si>
  <si>
    <t>T ºC</t>
  </si>
  <si>
    <t>J</t>
  </si>
  <si>
    <t>CGO13new</t>
  </si>
  <si>
    <t>CGO15</t>
  </si>
  <si>
    <t>Composite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</si>
  <si>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amb</t>
    </r>
  </si>
  <si>
    <t>model</t>
  </si>
  <si>
    <t>Videal</t>
  </si>
  <si>
    <t>Vreal</t>
  </si>
  <si>
    <t>600 ºC</t>
  </si>
  <si>
    <t>650 ºC</t>
  </si>
  <si>
    <t>700 ºC</t>
  </si>
  <si>
    <t>Source</t>
  </si>
  <si>
    <t>Permeation of CO2, feed side = 50 vol%</t>
  </si>
  <si>
    <t>Vo-RMC*I</t>
  </si>
  <si>
    <t>0+RSO*I</t>
  </si>
  <si>
    <t>Tau nlc</t>
  </si>
  <si>
    <t>Tau cgo</t>
  </si>
  <si>
    <t>CO2 without leak subtraction</t>
  </si>
  <si>
    <r>
      <t xml:space="preserve">600 </t>
    </r>
    <r>
      <rPr>
        <sz val="11"/>
        <color theme="1"/>
        <rFont val="Calibri"/>
        <family val="2"/>
      </rPr>
      <t>°C</t>
    </r>
  </si>
  <si>
    <r>
      <t xml:space="preserve">700 </t>
    </r>
    <r>
      <rPr>
        <sz val="11"/>
        <color theme="1"/>
        <rFont val="Calibri"/>
        <family val="2"/>
      </rPr>
      <t>°C</t>
    </r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</si>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</sst>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Calibri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1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/>
    </xf>
    <xf numFmtId="11" fontId="0" fillId="0" borderId="0" xfId="0" applyNumberFormat="1" applyFill="1"/>
    <xf numFmtId="11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10" workbookViewId="0">
      <selection activeCell="I48" sqref="I48"/>
    </sheetView>
  </sheetViews>
  <sheetFormatPr defaultRowHeight="15" x14ac:dyDescent="0.25"/>
  <cols>
    <col min="17" max="25" width="9.140625" style="1"/>
  </cols>
  <sheetData>
    <row r="1" spans="1:28" x14ac:dyDescent="0.25">
      <c r="A1" s="5" t="s">
        <v>32</v>
      </c>
      <c r="B1" s="5"/>
      <c r="C1" s="5"/>
      <c r="D1" s="6"/>
      <c r="E1" s="6"/>
      <c r="F1" s="5"/>
      <c r="G1" s="5"/>
      <c r="H1" s="5"/>
      <c r="I1" s="5"/>
      <c r="J1" s="5"/>
      <c r="K1" s="5"/>
      <c r="L1" s="5" t="s">
        <v>39</v>
      </c>
      <c r="M1" s="5" t="s">
        <v>40</v>
      </c>
      <c r="N1" s="7" t="s">
        <v>41</v>
      </c>
      <c r="O1" s="5"/>
      <c r="P1" s="5"/>
      <c r="Q1" s="8"/>
      <c r="R1" s="8"/>
      <c r="S1" s="8"/>
      <c r="T1" s="8"/>
      <c r="U1" s="8"/>
      <c r="V1" s="8"/>
      <c r="W1" s="8"/>
      <c r="X1" s="8"/>
      <c r="Y1" s="8"/>
    </row>
    <row r="2" spans="1:28" ht="90" x14ac:dyDescent="0.25">
      <c r="A2" s="9" t="s">
        <v>33</v>
      </c>
      <c r="B2" s="5"/>
      <c r="C2" s="5"/>
      <c r="D2" s="5"/>
      <c r="E2" s="5"/>
      <c r="F2" s="5"/>
      <c r="G2" s="5"/>
      <c r="H2" s="5"/>
      <c r="I2" s="9" t="s">
        <v>38</v>
      </c>
      <c r="J2" s="5"/>
      <c r="K2" s="5"/>
      <c r="L2" s="5"/>
      <c r="M2" s="5"/>
      <c r="N2" s="5"/>
      <c r="O2" s="5"/>
      <c r="P2" s="5"/>
      <c r="Q2" s="8"/>
      <c r="R2" s="8"/>
      <c r="S2" s="8"/>
      <c r="T2" s="8"/>
      <c r="U2" s="8"/>
      <c r="V2" s="8"/>
      <c r="W2" s="8"/>
      <c r="X2" s="8"/>
      <c r="Y2" s="8"/>
    </row>
    <row r="3" spans="1:28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/>
      <c r="R3" s="8"/>
      <c r="S3" s="8"/>
      <c r="T3" s="8"/>
      <c r="U3" s="8"/>
      <c r="V3" s="8"/>
      <c r="W3" s="8"/>
      <c r="X3" s="8"/>
      <c r="Y3" s="8"/>
    </row>
    <row r="4" spans="1:2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9" t="s">
        <v>29</v>
      </c>
      <c r="R4" s="19"/>
      <c r="S4" s="19"/>
      <c r="T4" s="19" t="s">
        <v>30</v>
      </c>
      <c r="U4" s="19"/>
      <c r="V4" s="19"/>
      <c r="W4" s="19" t="s">
        <v>31</v>
      </c>
      <c r="X4" s="19"/>
      <c r="Y4" s="19"/>
      <c r="Z4" s="2" t="s">
        <v>29</v>
      </c>
      <c r="AA4" s="2" t="s">
        <v>30</v>
      </c>
      <c r="AB4" s="2" t="s">
        <v>31</v>
      </c>
    </row>
    <row r="5" spans="1:2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 t="s">
        <v>21</v>
      </c>
      <c r="R5" s="8" t="s">
        <v>27</v>
      </c>
      <c r="S5" s="8" t="s">
        <v>28</v>
      </c>
      <c r="T5" s="8" t="s">
        <v>21</v>
      </c>
      <c r="U5" s="8" t="s">
        <v>27</v>
      </c>
      <c r="V5" s="8" t="s">
        <v>28</v>
      </c>
      <c r="W5" s="8" t="s">
        <v>21</v>
      </c>
      <c r="X5" s="8" t="s">
        <v>27</v>
      </c>
      <c r="Y5" s="8" t="s">
        <v>28</v>
      </c>
      <c r="Z5" s="3" t="s">
        <v>36</v>
      </c>
      <c r="AA5" s="3" t="s">
        <v>36</v>
      </c>
      <c r="AB5" s="3" t="s">
        <v>36</v>
      </c>
    </row>
    <row r="6" spans="1:28" x14ac:dyDescent="0.25">
      <c r="A6" s="5"/>
      <c r="B6" s="17" t="s">
        <v>17</v>
      </c>
      <c r="C6" s="17"/>
      <c r="D6" s="10" t="s">
        <v>24</v>
      </c>
      <c r="E6" s="17" t="s">
        <v>16</v>
      </c>
      <c r="F6" s="17"/>
      <c r="G6" s="17"/>
      <c r="H6" s="17" t="s">
        <v>11</v>
      </c>
      <c r="I6" s="17"/>
      <c r="J6" s="17"/>
      <c r="K6" s="17"/>
      <c r="L6" s="17"/>
      <c r="M6" s="17"/>
      <c r="N6" s="17"/>
      <c r="O6" s="17" t="s">
        <v>18</v>
      </c>
      <c r="P6" s="17"/>
      <c r="Q6" s="8">
        <v>0</v>
      </c>
      <c r="R6" s="8">
        <v>0</v>
      </c>
      <c r="S6" s="8"/>
      <c r="T6" s="8">
        <v>0</v>
      </c>
      <c r="U6" s="8">
        <v>0</v>
      </c>
      <c r="V6" s="8"/>
      <c r="W6" s="8">
        <v>0</v>
      </c>
      <c r="X6" s="8">
        <v>0</v>
      </c>
      <c r="Y6" s="8"/>
      <c r="Z6" s="4">
        <f>(1-$D$8)*$B10/$G10</f>
        <v>6.2173159524010417</v>
      </c>
      <c r="AA6" s="4">
        <f>(1-$D$8)*$B11/$G11</f>
        <v>6.6773027279485708</v>
      </c>
      <c r="AB6" s="4">
        <f>(1-$D$8)*$B12/$G12</f>
        <v>6.8964173452104225</v>
      </c>
    </row>
    <row r="7" spans="1:28" ht="15" customHeight="1" x14ac:dyDescent="0.25">
      <c r="A7" s="5" t="s">
        <v>10</v>
      </c>
      <c r="B7" s="10">
        <v>16.899999999999999</v>
      </c>
      <c r="C7" s="10">
        <v>61.76</v>
      </c>
      <c r="D7" s="10" t="s">
        <v>26</v>
      </c>
      <c r="E7" s="10"/>
      <c r="F7" s="10"/>
      <c r="G7" s="10"/>
      <c r="H7" s="18" t="s">
        <v>2</v>
      </c>
      <c r="I7" s="18" t="s">
        <v>7</v>
      </c>
      <c r="J7" s="18" t="s">
        <v>12</v>
      </c>
      <c r="K7" s="18" t="s">
        <v>3</v>
      </c>
      <c r="L7" s="5"/>
      <c r="M7" s="5"/>
      <c r="N7" s="5"/>
      <c r="O7" s="5"/>
      <c r="P7" s="5"/>
      <c r="Q7" s="8">
        <f>O10</f>
        <v>4.687383860370245E-2</v>
      </c>
      <c r="R7" s="8">
        <f>P10</f>
        <v>0.23369913838581349</v>
      </c>
      <c r="S7" s="8"/>
      <c r="T7" s="8">
        <f>O11</f>
        <v>6.6709271558431898E-2</v>
      </c>
      <c r="U7" s="8">
        <f>P11</f>
        <v>0.22172619005683447</v>
      </c>
      <c r="V7" s="8"/>
      <c r="W7" s="8">
        <f>O12</f>
        <v>9.3246052068348781E-2</v>
      </c>
      <c r="X7" s="8">
        <f>P12</f>
        <v>0.21600968945711313</v>
      </c>
      <c r="Y7" s="8"/>
      <c r="Z7" s="2" t="s">
        <v>37</v>
      </c>
      <c r="AA7" s="2" t="s">
        <v>37</v>
      </c>
      <c r="AB7" s="2" t="s">
        <v>37</v>
      </c>
    </row>
    <row r="8" spans="1:28" ht="15" customHeight="1" x14ac:dyDescent="0.35">
      <c r="A8" s="5" t="s">
        <v>15</v>
      </c>
      <c r="B8" s="10">
        <v>20.8</v>
      </c>
      <c r="C8" s="10">
        <v>109000</v>
      </c>
      <c r="D8" s="10">
        <v>0.8</v>
      </c>
      <c r="E8" s="17" t="s">
        <v>13</v>
      </c>
      <c r="F8" s="17"/>
      <c r="G8" s="17"/>
      <c r="H8" s="18"/>
      <c r="I8" s="18"/>
      <c r="J8" s="18"/>
      <c r="K8" s="18"/>
      <c r="L8" s="5"/>
      <c r="M8" s="5"/>
      <c r="N8" s="5"/>
      <c r="O8" s="5"/>
      <c r="P8" s="5"/>
      <c r="Q8" s="8">
        <v>0</v>
      </c>
      <c r="R8" s="8">
        <f>L10</f>
        <v>0.24527481816238761</v>
      </c>
      <c r="S8" s="8"/>
      <c r="T8" s="8">
        <v>0</v>
      </c>
      <c r="U8" s="8">
        <f>L11</f>
        <v>0.23624719568911398</v>
      </c>
      <c r="V8" s="8"/>
      <c r="W8" s="8">
        <v>0</v>
      </c>
      <c r="X8" s="8">
        <f>L12</f>
        <v>0.23413427525429206</v>
      </c>
      <c r="Y8" s="8"/>
      <c r="Z8" s="4">
        <f>$D$8*C10/E10</f>
        <v>2.7589193060512831</v>
      </c>
      <c r="AA8" s="4">
        <f>$D$8*$C11/$E11</f>
        <v>2.4660925609006314</v>
      </c>
      <c r="AB8" s="4">
        <f>$D$8*$C12/$E12</f>
        <v>2.3718424239122324</v>
      </c>
    </row>
    <row r="9" spans="1:28" ht="18" x14ac:dyDescent="0.35">
      <c r="A9" s="5" t="s">
        <v>20</v>
      </c>
      <c r="B9" s="5" t="s">
        <v>0</v>
      </c>
      <c r="C9" s="5" t="s">
        <v>1</v>
      </c>
      <c r="D9" s="10" t="s">
        <v>25</v>
      </c>
      <c r="E9" s="11" t="s">
        <v>14</v>
      </c>
      <c r="F9" s="11" t="s">
        <v>8</v>
      </c>
      <c r="G9" s="11" t="s">
        <v>9</v>
      </c>
      <c r="H9" s="18"/>
      <c r="I9" s="18"/>
      <c r="J9" s="18"/>
      <c r="K9" s="18"/>
      <c r="L9" s="5" t="s">
        <v>4</v>
      </c>
      <c r="M9" s="5" t="s">
        <v>5</v>
      </c>
      <c r="N9" s="5" t="s">
        <v>6</v>
      </c>
      <c r="O9" s="5" t="s">
        <v>3</v>
      </c>
      <c r="P9" s="5" t="s">
        <v>19</v>
      </c>
      <c r="Q9" s="8">
        <v>0</v>
      </c>
      <c r="R9" s="8"/>
      <c r="S9" s="8">
        <v>0</v>
      </c>
      <c r="T9" s="8">
        <v>0</v>
      </c>
      <c r="U9" s="8"/>
      <c r="V9" s="8">
        <v>0</v>
      </c>
      <c r="W9" s="8">
        <v>0</v>
      </c>
      <c r="X9" s="8"/>
      <c r="Y9" s="8">
        <v>0</v>
      </c>
    </row>
    <row r="10" spans="1:28" x14ac:dyDescent="0.25">
      <c r="A10" s="5">
        <v>600</v>
      </c>
      <c r="B10" s="5">
        <f>B$8*EXP(-B$7*1000/(8.31*($A10+273)))</f>
        <v>2.0246689398993998</v>
      </c>
      <c r="C10" s="5">
        <f>C$8*EXP(-C$7*1000/(8.31*($A10+273)))/(A10+273)</f>
        <v>2.5071679193741033E-2</v>
      </c>
      <c r="D10" s="5">
        <f>D$8*(1-D$8)*$B10*$C10/($B10*(1-D$8)+$C10*D$8)</f>
        <v>1.9110742372528834E-2</v>
      </c>
      <c r="E10" s="12">
        <v>7.2700000000000004E-3</v>
      </c>
      <c r="F10" s="12">
        <v>7.2400000000000006E-2</v>
      </c>
      <c r="G10" s="12">
        <f>F10-E10</f>
        <v>6.5130000000000007E-2</v>
      </c>
      <c r="H10" s="5">
        <v>4.3979999999999998E-2</v>
      </c>
      <c r="I10" s="5">
        <v>733</v>
      </c>
      <c r="J10" s="5">
        <f>H10*0.001/22.4/60</f>
        <v>3.2723214285714295E-8</v>
      </c>
      <c r="K10" s="5">
        <f>J10*2*96500</f>
        <v>6.315580357142859E-3</v>
      </c>
      <c r="L10" s="5">
        <f>8.31*(A10+273)/(2*96500)*LN(0.5/(I10*0.000001))</f>
        <v>0.24527481816238761</v>
      </c>
      <c r="M10" s="13">
        <f>L10-K10*0.1/G10</f>
        <v>0.23557793445727038</v>
      </c>
      <c r="N10" s="13">
        <f>0+K10*0.1/E10</f>
        <v>8.6871806838278665E-2</v>
      </c>
      <c r="O10" s="5">
        <f>L10*D10/0.1</f>
        <v>4.687383860370245E-2</v>
      </c>
      <c r="P10" s="5">
        <f>$L10-$O10*0.1/((1-$D$8)*$B10)</f>
        <v>0.23369913838581349</v>
      </c>
      <c r="Q10" s="8">
        <f>K10</f>
        <v>6.315580357142859E-3</v>
      </c>
      <c r="R10" s="8"/>
      <c r="S10" s="14">
        <f>N10</f>
        <v>8.6871806838278665E-2</v>
      </c>
      <c r="T10" s="14">
        <f>K11</f>
        <v>1.1287053571428573E-2</v>
      </c>
      <c r="U10" s="8"/>
      <c r="V10" s="14">
        <f>N11</f>
        <v>9.2516832552693232E-2</v>
      </c>
      <c r="W10" s="8">
        <f>K12</f>
        <v>1.6112053571428572E-2</v>
      </c>
      <c r="X10" s="8"/>
      <c r="Y10" s="14">
        <f>N12</f>
        <v>8.852776687598117E-2</v>
      </c>
    </row>
    <row r="11" spans="1:28" x14ac:dyDescent="0.25">
      <c r="A11" s="5">
        <f>A10+50</f>
        <v>650</v>
      </c>
      <c r="B11" s="5">
        <f>B$8*EXP(-B$7*1000/(8.31*($A11+273)))</f>
        <v>2.2969921384143088</v>
      </c>
      <c r="C11" s="5">
        <f>C$8*EXP(-C$7*1000/(8.31*($A11+273)))/(A11+273)</f>
        <v>3.7607911553734635E-2</v>
      </c>
      <c r="D11" s="5">
        <f>D$8*(1-D$8)*$B11*$C11/($B11*(1-D$8)+$C11*D$8)</f>
        <v>2.8237063878725141E-2</v>
      </c>
      <c r="E11" s="15">
        <v>1.2200000000000001E-2</v>
      </c>
      <c r="F11" s="15">
        <v>8.1000000000000003E-2</v>
      </c>
      <c r="G11" s="15">
        <f t="shared" ref="G11:G12" si="0">F11-E11</f>
        <v>6.88E-2</v>
      </c>
      <c r="H11" s="5">
        <v>7.8600000000000003E-2</v>
      </c>
      <c r="I11" s="5">
        <v>1310</v>
      </c>
      <c r="J11" s="5">
        <f t="shared" ref="J11:J12" si="1">H11*0.001/22.4/60</f>
        <v>5.8482142857142861E-8</v>
      </c>
      <c r="K11" s="5">
        <f t="shared" ref="K11:K12" si="2">J11*2*96500</f>
        <v>1.1287053571428573E-2</v>
      </c>
      <c r="L11" s="5">
        <f>8.31*(A11+273)/(2*96500)*LN(0.5/(I11*0.000001))</f>
        <v>0.23624719568911398</v>
      </c>
      <c r="M11" s="13">
        <f>L11-K11*0.1/G11</f>
        <v>0.21984159456785152</v>
      </c>
      <c r="N11" s="13">
        <f>0+K11*0.1/E11</f>
        <v>9.2516832552693232E-2</v>
      </c>
      <c r="O11" s="5">
        <f>L11*D11/0.1</f>
        <v>6.6709271558431898E-2</v>
      </c>
      <c r="P11" s="5">
        <f>$L11-$O11*0.1/((1-$D$8)*$B11)</f>
        <v>0.22172619005683447</v>
      </c>
      <c r="Q11" s="8">
        <f>Q10</f>
        <v>6.315580357142859E-3</v>
      </c>
      <c r="R11" s="8"/>
      <c r="S11" s="14">
        <f>M10</f>
        <v>0.23557793445727038</v>
      </c>
      <c r="T11" s="8">
        <f>T10</f>
        <v>1.1287053571428573E-2</v>
      </c>
      <c r="U11" s="8"/>
      <c r="V11" s="14">
        <f>M11</f>
        <v>0.21984159456785152</v>
      </c>
      <c r="W11" s="8">
        <f>W10</f>
        <v>1.6112053571428572E-2</v>
      </c>
      <c r="X11" s="8"/>
      <c r="Y11" s="14">
        <f>M12</f>
        <v>0.21253634821484357</v>
      </c>
    </row>
    <row r="12" spans="1:28" x14ac:dyDescent="0.25">
      <c r="A12" s="5">
        <f t="shared" ref="A12" si="3">A11+50</f>
        <v>700</v>
      </c>
      <c r="B12" s="5">
        <f>B$8*EXP(-B$7*1000/(8.31*($A12+273)))</f>
        <v>2.5723636697634884</v>
      </c>
      <c r="C12" s="5">
        <f>C$8*EXP(-C$7*1000/(8.31*($A12+273)))/(A12+273)</f>
        <v>5.3959415144003292E-2</v>
      </c>
      <c r="D12" s="5">
        <f>D$8*(1-D$8)*$B12*$C12/($B12*(1-D$8)+$C12*D$8)</f>
        <v>3.9825887075728116E-2</v>
      </c>
      <c r="E12" s="15">
        <v>1.8200000000000001E-2</v>
      </c>
      <c r="F12" s="15">
        <v>9.2799999999999994E-2</v>
      </c>
      <c r="G12" s="15">
        <f t="shared" si="0"/>
        <v>7.46E-2</v>
      </c>
      <c r="H12" s="5">
        <v>0.11219999999999999</v>
      </c>
      <c r="I12" s="5">
        <v>1870</v>
      </c>
      <c r="J12" s="5">
        <f t="shared" si="1"/>
        <v>8.348214285714286E-8</v>
      </c>
      <c r="K12" s="5">
        <f t="shared" si="2"/>
        <v>1.6112053571428572E-2</v>
      </c>
      <c r="L12" s="5">
        <f>8.31*(A12+273)/(2*96500)*LN(0.5/(I12*0.000001))</f>
        <v>0.23413427525429206</v>
      </c>
      <c r="M12" s="13">
        <f>L12-K12*0.1/G12</f>
        <v>0.21253634821484357</v>
      </c>
      <c r="N12" s="13">
        <f>0+K12*0.1/E12</f>
        <v>8.852776687598117E-2</v>
      </c>
      <c r="O12" s="5">
        <f>L12*D12/0.1</f>
        <v>9.3246052068348781E-2</v>
      </c>
      <c r="P12" s="5">
        <f>$L12-$O12*0.1/((1-$D$8)*$B12)</f>
        <v>0.21600968945711313</v>
      </c>
      <c r="Q12" s="8">
        <v>0</v>
      </c>
      <c r="R12" s="8"/>
      <c r="S12" s="8">
        <f>L10</f>
        <v>0.24527481816238761</v>
      </c>
      <c r="T12" s="8">
        <v>0</v>
      </c>
      <c r="U12" s="8"/>
      <c r="V12" s="8">
        <f>L11</f>
        <v>0.23624719568911398</v>
      </c>
      <c r="W12" s="8">
        <v>0</v>
      </c>
      <c r="X12" s="8"/>
      <c r="Y12" s="8">
        <f>L12</f>
        <v>0.23413427525429206</v>
      </c>
    </row>
    <row r="13" spans="1:2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>
        <f>Q10/Q7</f>
        <v>0.1347357192257774</v>
      </c>
      <c r="R13" s="8"/>
      <c r="S13" s="8"/>
      <c r="T13" s="8"/>
      <c r="U13" s="8"/>
      <c r="V13" s="8"/>
      <c r="W13" s="8">
        <f>W10/W7</f>
        <v>0.17279073176866014</v>
      </c>
      <c r="X13" s="8"/>
      <c r="Y13" s="8"/>
    </row>
    <row r="14" spans="1:2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9" t="s">
        <v>29</v>
      </c>
      <c r="R14" s="19"/>
      <c r="S14" s="19"/>
      <c r="T14" s="19" t="s">
        <v>30</v>
      </c>
      <c r="U14" s="19"/>
      <c r="V14" s="19"/>
      <c r="W14" s="19" t="s">
        <v>31</v>
      </c>
      <c r="X14" s="19"/>
      <c r="Y14" s="19"/>
    </row>
    <row r="15" spans="1:2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 t="s">
        <v>21</v>
      </c>
      <c r="R15" s="8" t="s">
        <v>27</v>
      </c>
      <c r="S15" s="8" t="s">
        <v>28</v>
      </c>
      <c r="T15" s="8" t="s">
        <v>21</v>
      </c>
      <c r="U15" s="8" t="s">
        <v>27</v>
      </c>
      <c r="V15" s="8" t="s">
        <v>28</v>
      </c>
      <c r="W15" s="8" t="s">
        <v>21</v>
      </c>
      <c r="X15" s="8" t="s">
        <v>27</v>
      </c>
      <c r="Y15" s="8" t="s">
        <v>28</v>
      </c>
    </row>
    <row r="16" spans="1:28" x14ac:dyDescent="0.25">
      <c r="A16" s="5"/>
      <c r="B16" s="17" t="s">
        <v>17</v>
      </c>
      <c r="C16" s="17"/>
      <c r="D16" s="10" t="s">
        <v>24</v>
      </c>
      <c r="E16" s="17" t="s">
        <v>16</v>
      </c>
      <c r="F16" s="17"/>
      <c r="G16" s="17"/>
      <c r="H16" s="17" t="s">
        <v>11</v>
      </c>
      <c r="I16" s="17"/>
      <c r="J16" s="17"/>
      <c r="K16" s="17"/>
      <c r="L16" s="17"/>
      <c r="M16" s="17"/>
      <c r="N16" s="17"/>
      <c r="O16" s="17" t="s">
        <v>18</v>
      </c>
      <c r="P16" s="17"/>
      <c r="Q16" s="8">
        <v>0</v>
      </c>
      <c r="R16" s="8">
        <v>0</v>
      </c>
      <c r="S16" s="8"/>
      <c r="T16" s="8">
        <v>0</v>
      </c>
      <c r="U16" s="8">
        <v>0</v>
      </c>
      <c r="V16" s="8"/>
      <c r="W16" s="8">
        <v>0</v>
      </c>
      <c r="X16" s="8">
        <v>0</v>
      </c>
      <c r="Y16" s="8"/>
    </row>
    <row r="17" spans="1:25" x14ac:dyDescent="0.25">
      <c r="A17" s="5" t="s">
        <v>10</v>
      </c>
      <c r="B17" s="10">
        <v>16.899999999999999</v>
      </c>
      <c r="C17" s="10">
        <v>61.76</v>
      </c>
      <c r="D17" s="10" t="s">
        <v>26</v>
      </c>
      <c r="E17" s="10"/>
      <c r="F17" s="10"/>
      <c r="G17" s="10"/>
      <c r="H17" s="18" t="s">
        <v>2</v>
      </c>
      <c r="I17" s="18" t="s">
        <v>7</v>
      </c>
      <c r="J17" s="18" t="s">
        <v>12</v>
      </c>
      <c r="K17" s="18" t="s">
        <v>3</v>
      </c>
      <c r="L17" s="5"/>
      <c r="M17" s="5"/>
      <c r="N17" s="5"/>
      <c r="O17" s="5"/>
      <c r="P17" s="5"/>
      <c r="Q17" s="8">
        <f>O20</f>
        <v>4.3638599112064122E-2</v>
      </c>
      <c r="R17" s="8">
        <f>P20</f>
        <v>0.21756918820059623</v>
      </c>
      <c r="S17" s="8"/>
      <c r="T17" s="8">
        <f>O21</f>
        <v>6.2835950228858739E-2</v>
      </c>
      <c r="U17" s="8">
        <f>P21</f>
        <v>0.2088521657839135</v>
      </c>
      <c r="V17" s="8"/>
      <c r="W17" s="8">
        <f>O22</f>
        <v>8.5639989041750186E-2</v>
      </c>
      <c r="X17" s="8">
        <f>P22</f>
        <v>0.19838981949025922</v>
      </c>
      <c r="Y17" s="8"/>
    </row>
    <row r="18" spans="1:25" ht="18" x14ac:dyDescent="0.35">
      <c r="A18" s="5" t="s">
        <v>15</v>
      </c>
      <c r="B18" s="10">
        <v>20.8</v>
      </c>
      <c r="C18" s="10">
        <v>109000</v>
      </c>
      <c r="D18" s="10">
        <v>0.8</v>
      </c>
      <c r="E18" s="17" t="s">
        <v>22</v>
      </c>
      <c r="F18" s="17"/>
      <c r="G18" s="17"/>
      <c r="H18" s="18"/>
      <c r="I18" s="18"/>
      <c r="J18" s="18"/>
      <c r="K18" s="18"/>
      <c r="L18" s="5"/>
      <c r="M18" s="5" t="s">
        <v>34</v>
      </c>
      <c r="N18" s="5" t="s">
        <v>35</v>
      </c>
      <c r="O18" s="5"/>
      <c r="P18" s="5" t="s">
        <v>34</v>
      </c>
      <c r="Q18" s="8">
        <v>0</v>
      </c>
      <c r="R18" s="8">
        <f>L20</f>
        <v>0.22834591279297142</v>
      </c>
      <c r="S18" s="8"/>
      <c r="T18" s="8">
        <v>0</v>
      </c>
      <c r="U18" s="8">
        <f>L21</f>
        <v>0.22253004242484892</v>
      </c>
      <c r="V18" s="8"/>
      <c r="W18" s="8">
        <v>0</v>
      </c>
      <c r="X18" s="8">
        <f>L22</f>
        <v>0.2150359862139605</v>
      </c>
      <c r="Y18" s="8"/>
    </row>
    <row r="19" spans="1:25" ht="18" x14ac:dyDescent="0.35">
      <c r="A19" s="5" t="s">
        <v>20</v>
      </c>
      <c r="B19" s="5" t="s">
        <v>0</v>
      </c>
      <c r="C19" s="5" t="s">
        <v>1</v>
      </c>
      <c r="D19" s="10" t="s">
        <v>25</v>
      </c>
      <c r="E19" s="11" t="s">
        <v>14</v>
      </c>
      <c r="F19" s="11" t="s">
        <v>8</v>
      </c>
      <c r="G19" s="11" t="s">
        <v>9</v>
      </c>
      <c r="H19" s="18"/>
      <c r="I19" s="18"/>
      <c r="J19" s="18"/>
      <c r="K19" s="18"/>
      <c r="L19" s="5" t="s">
        <v>4</v>
      </c>
      <c r="M19" s="5" t="s">
        <v>5</v>
      </c>
      <c r="N19" s="5" t="s">
        <v>6</v>
      </c>
      <c r="O19" s="5" t="s">
        <v>3</v>
      </c>
      <c r="P19" s="5" t="s">
        <v>19</v>
      </c>
      <c r="Q19" s="8">
        <v>0</v>
      </c>
      <c r="R19" s="8"/>
      <c r="S19" s="8">
        <v>0</v>
      </c>
      <c r="T19" s="8">
        <v>0</v>
      </c>
      <c r="U19" s="8"/>
      <c r="V19" s="8">
        <v>0</v>
      </c>
      <c r="W19" s="8">
        <v>0</v>
      </c>
      <c r="X19" s="8"/>
      <c r="Y19" s="8">
        <v>0</v>
      </c>
    </row>
    <row r="20" spans="1:25" x14ac:dyDescent="0.25">
      <c r="A20" s="5">
        <v>600</v>
      </c>
      <c r="B20" s="5">
        <f>B$8*EXP(-B$7*1000/(8.31*($A20+273)))</f>
        <v>2.0246689398993998</v>
      </c>
      <c r="C20" s="5">
        <f>C$8*EXP(-C$7*1000/(8.31*($A20+273)))/(A20+273)</f>
        <v>2.5071679193741033E-2</v>
      </c>
      <c r="D20" s="5">
        <f>D$18*(1-D$18)*$B20*$C20/($B20*(1-D$18)+$C20*D$18)</f>
        <v>1.9110742372528834E-2</v>
      </c>
      <c r="E20" s="15">
        <v>6.3499999999999997E-3</v>
      </c>
      <c r="F20" s="15">
        <v>7.2400000000000006E-2</v>
      </c>
      <c r="G20" s="15">
        <f>F20-E20</f>
        <v>6.6050000000000011E-2</v>
      </c>
      <c r="H20" s="5">
        <v>7.4675324675324672E-2</v>
      </c>
      <c r="I20" s="16">
        <v>1150</v>
      </c>
      <c r="J20" s="5">
        <f t="shared" ref="J20:J22" si="4">H20*0.001/22.4/60</f>
        <v>5.5561997526283236E-8</v>
      </c>
      <c r="K20" s="5">
        <f t="shared" ref="K20:K22" si="5">J20*2*96500</f>
        <v>1.0723465522572665E-2</v>
      </c>
      <c r="L20" s="5">
        <f>8.31*(A20+273)/(2*96500)*LN(0.5/(I20*0.000001))</f>
        <v>0.22834591279297142</v>
      </c>
      <c r="M20" s="13">
        <f t="shared" ref="M20:M22" si="6">L20-K20*0.1/G20</f>
        <v>0.21211053728566989</v>
      </c>
      <c r="N20" s="13">
        <f t="shared" ref="N20:N22" si="7">0+K20*0.1/E20</f>
        <v>0.16887347279641995</v>
      </c>
      <c r="O20" s="5">
        <f>L20*D20/0.1</f>
        <v>4.3638599112064122E-2</v>
      </c>
      <c r="P20" s="5">
        <f>$L20-$O20*0.1/((1-$D$18)*$B20)</f>
        <v>0.21756918820059623</v>
      </c>
      <c r="Q20" s="8">
        <f>K20</f>
        <v>1.0723465522572665E-2</v>
      </c>
      <c r="R20" s="8"/>
      <c r="S20" s="14">
        <f>N20</f>
        <v>0.16887347279641995</v>
      </c>
      <c r="T20" s="14">
        <f>K21</f>
        <v>1.7250792362399504E-2</v>
      </c>
      <c r="U20" s="8"/>
      <c r="V20" s="14">
        <f>N21</f>
        <v>0.16748342099416993</v>
      </c>
      <c r="W20" s="8">
        <f>K22</f>
        <v>2.7508020253555966E-2</v>
      </c>
      <c r="X20" s="8"/>
      <c r="Y20" s="14">
        <f>N22</f>
        <v>0.18217231955997329</v>
      </c>
    </row>
    <row r="21" spans="1:25" x14ac:dyDescent="0.25">
      <c r="A21" s="5">
        <f>A20+50</f>
        <v>650</v>
      </c>
      <c r="B21" s="5">
        <f>B$8*EXP(-B$7*1000/(8.31*($A21+273)))</f>
        <v>2.2969921384143088</v>
      </c>
      <c r="C21" s="5">
        <f>C$8*EXP(-C$7*1000/(8.31*($A21+273)))/(A21+273)</f>
        <v>3.7607911553734635E-2</v>
      </c>
      <c r="D21" s="5">
        <f t="shared" ref="D21:D22" si="8">D$18*(1-D$18)*$B21*$C21/($B21*(1-D$18)+$C21*D$18)</f>
        <v>2.8237063878725141E-2</v>
      </c>
      <c r="E21" s="15">
        <v>1.03E-2</v>
      </c>
      <c r="F21" s="15">
        <v>8.1000000000000003E-2</v>
      </c>
      <c r="G21" s="15">
        <f t="shared" ref="G21:G22" si="9">F21-E21</f>
        <v>7.0699999999999999E-2</v>
      </c>
      <c r="H21" s="5">
        <v>0.12012987012987013</v>
      </c>
      <c r="I21" s="16">
        <v>1850</v>
      </c>
      <c r="J21" s="5">
        <f t="shared" si="4"/>
        <v>8.938234384662956E-8</v>
      </c>
      <c r="K21" s="5">
        <f t="shared" si="5"/>
        <v>1.7250792362399504E-2</v>
      </c>
      <c r="L21" s="5">
        <f>8.31*(A21+273)/(2*96500)*LN(0.5/(I21*0.000001))</f>
        <v>0.22253004242484892</v>
      </c>
      <c r="M21" s="13">
        <f t="shared" si="6"/>
        <v>0.19813005322767846</v>
      </c>
      <c r="N21" s="13">
        <f t="shared" si="7"/>
        <v>0.16748342099416993</v>
      </c>
      <c r="O21" s="5">
        <f>L21*D21/0.1</f>
        <v>6.2835950228858739E-2</v>
      </c>
      <c r="P21" s="5">
        <f t="shared" ref="P21:P22" si="10">$L21-$O21*0.1/((1-$D$18)*$B21)</f>
        <v>0.2088521657839135</v>
      </c>
      <c r="Q21" s="8">
        <f>Q20</f>
        <v>1.0723465522572665E-2</v>
      </c>
      <c r="R21" s="8"/>
      <c r="S21" s="14">
        <f>M20</f>
        <v>0.21211053728566989</v>
      </c>
      <c r="T21" s="8">
        <f>T20</f>
        <v>1.7250792362399504E-2</v>
      </c>
      <c r="U21" s="8"/>
      <c r="V21" s="14">
        <f>M21</f>
        <v>0.19813005322767846</v>
      </c>
      <c r="W21" s="8">
        <f>W20</f>
        <v>2.7508020253555966E-2</v>
      </c>
      <c r="X21" s="8"/>
      <c r="Y21" s="14">
        <f>M22</f>
        <v>0.17963312874477649</v>
      </c>
    </row>
    <row r="22" spans="1:25" x14ac:dyDescent="0.25">
      <c r="A22" s="5">
        <f t="shared" ref="A22" si="11">A21+50</f>
        <v>700</v>
      </c>
      <c r="B22" s="5">
        <f>B$8*EXP(-B$7*1000/(8.31*($A22+273)))</f>
        <v>2.5723636697634884</v>
      </c>
      <c r="C22" s="5">
        <f>C$8*EXP(-C$7*1000/(8.31*($A22+273)))/(A22+273)</f>
        <v>5.3959415144003292E-2</v>
      </c>
      <c r="D22" s="5">
        <f t="shared" si="8"/>
        <v>3.9825887075728116E-2</v>
      </c>
      <c r="E22" s="15">
        <v>1.5100000000000001E-2</v>
      </c>
      <c r="F22" s="15">
        <v>9.2799999999999994E-2</v>
      </c>
      <c r="G22" s="15">
        <f t="shared" si="9"/>
        <v>7.7699999999999991E-2</v>
      </c>
      <c r="H22" s="5">
        <v>0.19155844155844154</v>
      </c>
      <c r="I22" s="16">
        <v>2950</v>
      </c>
      <c r="J22" s="5">
        <f t="shared" si="4"/>
        <v>1.4252860235003092E-7</v>
      </c>
      <c r="K22" s="5">
        <f t="shared" si="5"/>
        <v>2.7508020253555966E-2</v>
      </c>
      <c r="L22" s="5">
        <f>8.31*(A22+273)/(2*96500)*LN(0.5/(I22*0.000001))</f>
        <v>0.2150359862139605</v>
      </c>
      <c r="M22" s="13">
        <f t="shared" si="6"/>
        <v>0.17963312874477649</v>
      </c>
      <c r="N22" s="13">
        <f t="shared" si="7"/>
        <v>0.18217231955997329</v>
      </c>
      <c r="O22" s="5">
        <f>L22*D22/0.1</f>
        <v>8.5639989041750186E-2</v>
      </c>
      <c r="P22" s="5">
        <f t="shared" si="10"/>
        <v>0.19838981949025922</v>
      </c>
      <c r="Q22" s="8">
        <v>0</v>
      </c>
      <c r="R22" s="8"/>
      <c r="S22" s="8">
        <f>L20</f>
        <v>0.22834591279297142</v>
      </c>
      <c r="T22" s="8">
        <v>0</v>
      </c>
      <c r="U22" s="8"/>
      <c r="V22" s="8">
        <f>L21</f>
        <v>0.22253004242484892</v>
      </c>
      <c r="W22" s="8">
        <v>0</v>
      </c>
      <c r="X22" s="8"/>
      <c r="Y22" s="8">
        <f>L22</f>
        <v>0.2150359862139605</v>
      </c>
    </row>
    <row r="23" spans="1:2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>
        <f>Q20/Q17</f>
        <v>0.2457334960509332</v>
      </c>
      <c r="R23" s="8"/>
      <c r="S23" s="8"/>
      <c r="T23" s="8"/>
      <c r="U23" s="8"/>
      <c r="V23" s="8"/>
      <c r="W23" s="8">
        <f>W20/W17</f>
        <v>0.3212053219687544</v>
      </c>
      <c r="X23" s="8"/>
      <c r="Y23" s="8"/>
    </row>
    <row r="24" spans="1:2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9" t="s">
        <v>29</v>
      </c>
      <c r="R24" s="19"/>
      <c r="S24" s="19"/>
      <c r="T24" s="19" t="s">
        <v>30</v>
      </c>
      <c r="U24" s="19"/>
      <c r="V24" s="19"/>
      <c r="W24" s="19" t="s">
        <v>31</v>
      </c>
      <c r="X24" s="19"/>
      <c r="Y24" s="19"/>
    </row>
    <row r="25" spans="1:2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 t="s">
        <v>21</v>
      </c>
      <c r="R25" s="8" t="s">
        <v>27</v>
      </c>
      <c r="S25" s="8" t="s">
        <v>28</v>
      </c>
      <c r="T25" s="8" t="s">
        <v>21</v>
      </c>
      <c r="U25" s="8" t="s">
        <v>27</v>
      </c>
      <c r="V25" s="8" t="s">
        <v>28</v>
      </c>
      <c r="W25" s="8" t="s">
        <v>21</v>
      </c>
      <c r="X25" s="8" t="s">
        <v>27</v>
      </c>
      <c r="Y25" s="8" t="s">
        <v>28</v>
      </c>
    </row>
    <row r="26" spans="1:25" x14ac:dyDescent="0.25">
      <c r="A26" s="5"/>
      <c r="B26" s="17" t="s">
        <v>17</v>
      </c>
      <c r="C26" s="17"/>
      <c r="D26" s="10" t="s">
        <v>24</v>
      </c>
      <c r="E26" s="17" t="s">
        <v>16</v>
      </c>
      <c r="F26" s="17"/>
      <c r="G26" s="17"/>
      <c r="H26" s="17" t="s">
        <v>11</v>
      </c>
      <c r="I26" s="17"/>
      <c r="J26" s="17"/>
      <c r="K26" s="17"/>
      <c r="L26" s="17"/>
      <c r="M26" s="17"/>
      <c r="N26" s="17"/>
      <c r="O26" s="17" t="s">
        <v>18</v>
      </c>
      <c r="P26" s="17"/>
      <c r="Q26" s="8">
        <v>0</v>
      </c>
      <c r="R26" s="8">
        <v>0</v>
      </c>
      <c r="S26" s="8"/>
      <c r="T26" s="8">
        <v>0</v>
      </c>
      <c r="U26" s="8">
        <v>0</v>
      </c>
      <c r="V26" s="8"/>
      <c r="W26" s="8">
        <v>0</v>
      </c>
      <c r="X26" s="8">
        <v>0</v>
      </c>
      <c r="Y26" s="8"/>
    </row>
    <row r="27" spans="1:25" x14ac:dyDescent="0.25">
      <c r="A27" s="5" t="s">
        <v>10</v>
      </c>
      <c r="B27" s="10">
        <v>16.899999999999999</v>
      </c>
      <c r="C27" s="10">
        <v>61.76</v>
      </c>
      <c r="D27" s="10" t="s">
        <v>26</v>
      </c>
      <c r="E27" s="10"/>
      <c r="F27" s="10"/>
      <c r="G27" s="10"/>
      <c r="H27" s="18" t="s">
        <v>2</v>
      </c>
      <c r="I27" s="18" t="s">
        <v>7</v>
      </c>
      <c r="J27" s="18" t="s">
        <v>12</v>
      </c>
      <c r="K27" s="18" t="s">
        <v>3</v>
      </c>
      <c r="L27" s="5"/>
      <c r="M27" s="5"/>
      <c r="N27" s="5"/>
      <c r="O27" s="5"/>
      <c r="P27" s="5"/>
      <c r="Q27" s="8">
        <f>O30</f>
        <v>3.5441001688598581E-2</v>
      </c>
      <c r="R27" s="8">
        <f>P30</f>
        <v>0.17669838453344486</v>
      </c>
      <c r="S27" s="8"/>
      <c r="T27" s="8">
        <f>O31</f>
        <v>4.9632600210518053E-2</v>
      </c>
      <c r="U27" s="8">
        <f>P31</f>
        <v>0.16496728401018226</v>
      </c>
      <c r="V27" s="8"/>
      <c r="W27" s="8">
        <f>O32</f>
        <v>7.1222536834031042E-2</v>
      </c>
      <c r="X27" s="8">
        <f>P32</f>
        <v>0.16499098591959599</v>
      </c>
      <c r="Y27" s="8"/>
    </row>
    <row r="28" spans="1:25" ht="18" x14ac:dyDescent="0.35">
      <c r="A28" s="5" t="s">
        <v>15</v>
      </c>
      <c r="B28" s="10">
        <v>20.8</v>
      </c>
      <c r="C28" s="10">
        <v>109000</v>
      </c>
      <c r="D28" s="10">
        <v>0.8</v>
      </c>
      <c r="E28" s="17" t="s">
        <v>23</v>
      </c>
      <c r="F28" s="17"/>
      <c r="G28" s="17"/>
      <c r="H28" s="18"/>
      <c r="I28" s="18"/>
      <c r="J28" s="18"/>
      <c r="K28" s="18"/>
      <c r="L28" s="5"/>
      <c r="M28" s="5"/>
      <c r="N28" s="5"/>
      <c r="O28" s="5"/>
      <c r="P28" s="5"/>
      <c r="Q28" s="8">
        <v>0</v>
      </c>
      <c r="R28" s="8">
        <f>L30</f>
        <v>0.18545068002980378</v>
      </c>
      <c r="S28" s="8"/>
      <c r="T28" s="8">
        <v>0</v>
      </c>
      <c r="U28" s="8">
        <f>L31</f>
        <v>0.1757711085815587</v>
      </c>
      <c r="V28" s="8"/>
      <c r="W28" s="8">
        <v>0</v>
      </c>
      <c r="X28" s="8">
        <f>L32</f>
        <v>0.17883477824010008</v>
      </c>
      <c r="Y28" s="8"/>
    </row>
    <row r="29" spans="1:25" ht="18" x14ac:dyDescent="0.35">
      <c r="A29" s="5" t="s">
        <v>20</v>
      </c>
      <c r="B29" s="5" t="s">
        <v>0</v>
      </c>
      <c r="C29" s="5" t="s">
        <v>1</v>
      </c>
      <c r="D29" s="10" t="s">
        <v>25</v>
      </c>
      <c r="E29" s="11" t="s">
        <v>14</v>
      </c>
      <c r="F29" s="11" t="s">
        <v>8</v>
      </c>
      <c r="G29" s="11" t="s">
        <v>9</v>
      </c>
      <c r="H29" s="18"/>
      <c r="I29" s="18"/>
      <c r="J29" s="18"/>
      <c r="K29" s="18"/>
      <c r="L29" s="5" t="s">
        <v>4</v>
      </c>
      <c r="M29" s="5" t="s">
        <v>5</v>
      </c>
      <c r="N29" s="5" t="s">
        <v>6</v>
      </c>
      <c r="O29" s="5" t="s">
        <v>3</v>
      </c>
      <c r="P29" s="5" t="s">
        <v>19</v>
      </c>
      <c r="Q29" s="8">
        <v>0</v>
      </c>
      <c r="R29" s="8"/>
      <c r="S29" s="8">
        <v>0</v>
      </c>
      <c r="T29" s="8">
        <v>0</v>
      </c>
      <c r="U29" s="8"/>
      <c r="V29" s="8">
        <v>0</v>
      </c>
      <c r="W29" s="8">
        <v>0</v>
      </c>
      <c r="X29" s="8"/>
      <c r="Y29" s="8">
        <v>0</v>
      </c>
    </row>
    <row r="30" spans="1:25" x14ac:dyDescent="0.25">
      <c r="A30" s="5">
        <v>600</v>
      </c>
      <c r="B30" s="5">
        <f>B$8*EXP(-B$7*1000/(8.31*($A30+273)))</f>
        <v>2.0246689398993998</v>
      </c>
      <c r="C30" s="5">
        <f>C$8*EXP(-C$7*1000/(8.31*($A30+273)))/(A30+273)</f>
        <v>2.5071679193741033E-2</v>
      </c>
      <c r="D30" s="5">
        <f>D$8*(1-D$28)*$B30*$C30/($B30*(1-D$28)+$C30*D$28)</f>
        <v>1.9110742372528834E-2</v>
      </c>
      <c r="E30" s="15">
        <v>7.2399999999999999E-3</v>
      </c>
      <c r="F30" s="15">
        <v>6.9400000000000003E-2</v>
      </c>
      <c r="G30" s="15">
        <f t="shared" ref="G30:G32" si="12">F30-E30</f>
        <v>6.2160000000000007E-2</v>
      </c>
      <c r="H30" s="5">
        <v>0.13200000000000001</v>
      </c>
      <c r="I30" s="5">
        <v>3600</v>
      </c>
      <c r="J30" s="5">
        <f t="shared" ref="J30:J32" si="13">H30*0.001/22.4/60</f>
        <v>9.8214285714285729E-8</v>
      </c>
      <c r="K30" s="5">
        <f t="shared" ref="K30:K32" si="14">J30*2*96500</f>
        <v>1.8955357142857145E-2</v>
      </c>
      <c r="L30" s="5">
        <f>8.31*(A30+273)/(2*96500)*LN(0.5/(I30*0.000001))</f>
        <v>0.18545068002980378</v>
      </c>
      <c r="M30" s="13">
        <f t="shared" ref="M30:M32" si="15">L30-K30*0.1/G30</f>
        <v>0.15495621873177104</v>
      </c>
      <c r="N30" s="13">
        <f t="shared" ref="N30:N32" si="16">0+K30*0.1/E30</f>
        <v>0.26181432517758491</v>
      </c>
      <c r="O30" s="5">
        <f>L30*D30/0.1</f>
        <v>3.5441001688598581E-2</v>
      </c>
      <c r="P30" s="5">
        <f>$L30-$O30*0.1/((1-$D$28)*$B30)</f>
        <v>0.17669838453344486</v>
      </c>
      <c r="Q30" s="8">
        <f>K30</f>
        <v>1.8955357142857145E-2</v>
      </c>
      <c r="R30" s="8"/>
      <c r="S30" s="14">
        <f>N30</f>
        <v>0.26181432517758491</v>
      </c>
      <c r="T30" s="14">
        <f>K31</f>
        <v>3.3889880952380956E-2</v>
      </c>
      <c r="U30" s="8"/>
      <c r="V30" s="14">
        <f>N31</f>
        <v>0.29727965747702595</v>
      </c>
      <c r="W30" s="8">
        <f>K32</f>
        <v>3.9633928571428584E-2</v>
      </c>
      <c r="X30" s="8"/>
      <c r="Y30" s="14">
        <f>N32</f>
        <v>0.23591624149659876</v>
      </c>
    </row>
    <row r="31" spans="1:25" x14ac:dyDescent="0.25">
      <c r="A31" s="5">
        <f>A30+50</f>
        <v>650</v>
      </c>
      <c r="B31" s="5">
        <f>B$8*EXP(-B$7*1000/(8.31*($A31+273)))</f>
        <v>2.2969921384143088</v>
      </c>
      <c r="C31" s="5">
        <f>C$8*EXP(-C$7*1000/(8.31*($A31+273)))/(A31+273)</f>
        <v>3.7607911553734635E-2</v>
      </c>
      <c r="D31" s="5">
        <f t="shared" ref="D31:D32" si="17">D$8*(1-D$28)*$B31*$C31/($B31*(1-D$28)+$C31*D$28)</f>
        <v>2.8237063878725141E-2</v>
      </c>
      <c r="E31" s="15">
        <v>1.14E-2</v>
      </c>
      <c r="F31" s="15">
        <v>7.51E-2</v>
      </c>
      <c r="G31" s="15">
        <f t="shared" si="12"/>
        <v>6.3700000000000007E-2</v>
      </c>
      <c r="H31" s="5">
        <v>0.23599999999999999</v>
      </c>
      <c r="I31" s="5">
        <v>6000</v>
      </c>
      <c r="J31" s="5">
        <f t="shared" si="13"/>
        <v>1.755952380952381E-7</v>
      </c>
      <c r="K31" s="5">
        <f t="shared" si="14"/>
        <v>3.3889880952380956E-2</v>
      </c>
      <c r="L31" s="5">
        <f>8.31*(A31+273)/(2*96500)*LN(0.5/(I31*0.000001))</f>
        <v>0.1757711085815587</v>
      </c>
      <c r="M31" s="13">
        <f t="shared" si="15"/>
        <v>0.12256878369556035</v>
      </c>
      <c r="N31" s="13">
        <f t="shared" si="16"/>
        <v>0.29727965747702595</v>
      </c>
      <c r="O31" s="5">
        <f>L31*D31/0.1</f>
        <v>4.9632600210518053E-2</v>
      </c>
      <c r="P31" s="5">
        <f t="shared" ref="P31:P32" si="18">$L31-$O31*0.1/((1-$D$28)*$B31)</f>
        <v>0.16496728401018226</v>
      </c>
      <c r="Q31" s="8">
        <f>Q30</f>
        <v>1.8955357142857145E-2</v>
      </c>
      <c r="R31" s="8"/>
      <c r="S31" s="14">
        <f>M30</f>
        <v>0.15495621873177104</v>
      </c>
      <c r="T31" s="8">
        <f>T30</f>
        <v>3.3889880952380956E-2</v>
      </c>
      <c r="U31" s="8"/>
      <c r="V31" s="14">
        <f>M31</f>
        <v>0.12256878369556035</v>
      </c>
      <c r="W31" s="8">
        <f>W30</f>
        <v>3.9633928571428584E-2</v>
      </c>
      <c r="X31" s="8"/>
      <c r="Y31" s="14">
        <f>M32</f>
        <v>0.12046374941619936</v>
      </c>
    </row>
    <row r="32" spans="1:25" x14ac:dyDescent="0.25">
      <c r="A32" s="5">
        <f t="shared" ref="A32" si="19">A31+50</f>
        <v>700</v>
      </c>
      <c r="B32" s="5">
        <f>B$8*EXP(-B$7*1000/(8.31*($A32+273)))</f>
        <v>2.5723636697634884</v>
      </c>
      <c r="C32" s="5">
        <f>C$8*EXP(-C$7*1000/(8.31*($A32+273)))/(A32+273)</f>
        <v>5.3959415144003292E-2</v>
      </c>
      <c r="D32" s="5">
        <f t="shared" si="17"/>
        <v>3.9825887075728116E-2</v>
      </c>
      <c r="E32" s="15">
        <v>1.6799999999999999E-2</v>
      </c>
      <c r="F32" s="15">
        <v>8.4699999999999998E-2</v>
      </c>
      <c r="G32" s="15">
        <f t="shared" si="12"/>
        <v>6.7900000000000002E-2</v>
      </c>
      <c r="H32" s="5">
        <v>0.27600000000000002</v>
      </c>
      <c r="I32" s="5">
        <v>7000</v>
      </c>
      <c r="J32" s="5">
        <f t="shared" si="13"/>
        <v>2.0535714285714291E-7</v>
      </c>
      <c r="K32" s="5">
        <f t="shared" si="14"/>
        <v>3.9633928571428584E-2</v>
      </c>
      <c r="L32" s="5">
        <f>8.31*(A32+273)/(2*96500)*LN(0.5/(I32*0.000001))</f>
        <v>0.17883477824010008</v>
      </c>
      <c r="M32" s="13">
        <f t="shared" si="15"/>
        <v>0.12046374941619936</v>
      </c>
      <c r="N32" s="13">
        <f t="shared" si="16"/>
        <v>0.23591624149659876</v>
      </c>
      <c r="O32" s="5">
        <f>L32*D32/0.1</f>
        <v>7.1222536834031042E-2</v>
      </c>
      <c r="P32" s="5">
        <f t="shared" si="18"/>
        <v>0.16499098591959599</v>
      </c>
      <c r="Q32" s="8">
        <v>0</v>
      </c>
      <c r="R32" s="8"/>
      <c r="S32" s="8">
        <f>L30</f>
        <v>0.18545068002980378</v>
      </c>
      <c r="T32" s="8">
        <v>0</v>
      </c>
      <c r="U32" s="8"/>
      <c r="V32" s="8">
        <f>L31</f>
        <v>0.1757711085815587</v>
      </c>
      <c r="W32" s="8">
        <v>0</v>
      </c>
      <c r="X32" s="8"/>
      <c r="Y32" s="8">
        <f>L32</f>
        <v>0.17883477824010008</v>
      </c>
    </row>
    <row r="33" spans="1:2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8">
        <f>Q30/Q27</f>
        <v>0.53484259021254221</v>
      </c>
      <c r="R33" s="8"/>
      <c r="S33" s="8"/>
      <c r="T33" s="8"/>
      <c r="U33" s="8"/>
      <c r="V33" s="8"/>
      <c r="W33" s="8">
        <f>W30/W27</f>
        <v>0.55648015829297148</v>
      </c>
      <c r="X33" s="8"/>
      <c r="Y33" s="8"/>
    </row>
    <row r="34" spans="1:2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8"/>
      <c r="R34" s="8"/>
      <c r="S34" s="8"/>
      <c r="T34" s="8"/>
      <c r="U34" s="8"/>
      <c r="V34" s="8"/>
      <c r="W34" s="8"/>
      <c r="X34" s="8"/>
      <c r="Y34" s="8"/>
    </row>
    <row r="35" spans="1: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8"/>
      <c r="R35" s="8"/>
      <c r="S35" s="8"/>
      <c r="T35" s="8"/>
      <c r="U35" s="8"/>
      <c r="V35" s="8"/>
      <c r="W35" s="8"/>
      <c r="X35" s="8"/>
      <c r="Y35" s="8"/>
    </row>
  </sheetData>
  <mergeCells count="36">
    <mergeCell ref="Q24:S24"/>
    <mergeCell ref="T24:V24"/>
    <mergeCell ref="W24:Y24"/>
    <mergeCell ref="Q4:S4"/>
    <mergeCell ref="T4:V4"/>
    <mergeCell ref="W4:Y4"/>
    <mergeCell ref="Q14:S14"/>
    <mergeCell ref="T14:V14"/>
    <mergeCell ref="W14:Y14"/>
    <mergeCell ref="H26:N26"/>
    <mergeCell ref="O26:P26"/>
    <mergeCell ref="H27:H29"/>
    <mergeCell ref="I27:I29"/>
    <mergeCell ref="J27:J29"/>
    <mergeCell ref="K27:K29"/>
    <mergeCell ref="H16:N16"/>
    <mergeCell ref="O16:P16"/>
    <mergeCell ref="H17:H19"/>
    <mergeCell ref="I17:I19"/>
    <mergeCell ref="J17:J19"/>
    <mergeCell ref="K17:K19"/>
    <mergeCell ref="E16:G16"/>
    <mergeCell ref="E18:G18"/>
    <mergeCell ref="E26:G26"/>
    <mergeCell ref="E28:G28"/>
    <mergeCell ref="B16:C16"/>
    <mergeCell ref="B26:C26"/>
    <mergeCell ref="E6:G6"/>
    <mergeCell ref="B6:C6"/>
    <mergeCell ref="O6:P6"/>
    <mergeCell ref="H6:N6"/>
    <mergeCell ref="E8:G8"/>
    <mergeCell ref="H7:H9"/>
    <mergeCell ref="I7:I9"/>
    <mergeCell ref="J7:J9"/>
    <mergeCell ref="K7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Universidade de Aveiro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Evangelos Papaioannou</cp:lastModifiedBy>
  <dcterms:created xsi:type="dcterms:W3CDTF">2017-04-11T07:14:37Z</dcterms:created>
  <dcterms:modified xsi:type="dcterms:W3CDTF">2018-12-19T16:34:11Z</dcterms:modified>
</cp:coreProperties>
</file>