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aper\"/>
    </mc:Choice>
  </mc:AlternateContent>
  <bookViews>
    <workbookView xWindow="0" yWindow="0" windowWidth="28800" windowHeight="12435" activeTab="1"/>
  </bookViews>
  <sheets>
    <sheet name="Anode" sheetId="1" r:id="rId1"/>
    <sheet name="Cathode 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2" l="1"/>
  <c r="C19" i="1"/>
  <c r="C13" i="1"/>
  <c r="C14" i="1"/>
  <c r="C15" i="1"/>
  <c r="J26" i="1"/>
  <c r="J27" i="1"/>
  <c r="J30" i="1"/>
  <c r="J31" i="1"/>
  <c r="K36" i="1"/>
  <c r="B36" i="1"/>
  <c r="K37" i="1"/>
  <c r="B35" i="1"/>
  <c r="K34" i="1"/>
  <c r="B34" i="1"/>
  <c r="K35" i="1"/>
  <c r="B33" i="1"/>
  <c r="J40" i="1"/>
  <c r="J43" i="1"/>
  <c r="B26" i="1"/>
  <c r="J42" i="1"/>
  <c r="B25" i="1"/>
  <c r="B22" i="1"/>
  <c r="B21" i="1"/>
  <c r="J29" i="1"/>
  <c r="B23" i="1"/>
  <c r="C18" i="1"/>
  <c r="C16" i="1"/>
  <c r="B16" i="1"/>
  <c r="B15" i="1"/>
  <c r="B14" i="1"/>
  <c r="B13" i="1"/>
  <c r="A15" i="1"/>
  <c r="A16" i="1"/>
  <c r="J18" i="1"/>
  <c r="J19" i="1"/>
  <c r="J20" i="1"/>
  <c r="J16" i="1"/>
  <c r="J17" i="1"/>
  <c r="J21" i="1"/>
  <c r="J22" i="1"/>
  <c r="J23" i="1"/>
</calcChain>
</file>

<file path=xl/sharedStrings.xml><?xml version="1.0" encoding="utf-8"?>
<sst xmlns="http://schemas.openxmlformats.org/spreadsheetml/2006/main" count="271" uniqueCount="190">
  <si>
    <t>Enrichment Potential</t>
  </si>
  <si>
    <t>Current Density</t>
  </si>
  <si>
    <t>A/m2</t>
  </si>
  <si>
    <t>Reference</t>
  </si>
  <si>
    <t>V (vs. SHE)</t>
  </si>
  <si>
    <t>99% Geobacter sp.</t>
  </si>
  <si>
    <t>92% Geobacter sp.</t>
  </si>
  <si>
    <t>90% Geobacter sp.</t>
  </si>
  <si>
    <t>16% Geobacter sp.</t>
  </si>
  <si>
    <t>Torres et al. 2009</t>
  </si>
  <si>
    <t>Main Substrate</t>
  </si>
  <si>
    <t>mM</t>
  </si>
  <si>
    <t>15 (NaAc); 100 (PBS)</t>
  </si>
  <si>
    <t>10 (NaAc); 50 (PBS)</t>
  </si>
  <si>
    <t xml:space="preserve">Note </t>
  </si>
  <si>
    <t>Secondary enrichment</t>
  </si>
  <si>
    <t>Primary enrichment</t>
  </si>
  <si>
    <t xml:space="preserve">Dominated Geobacter sp. </t>
  </si>
  <si>
    <t>Liu et al. 2008</t>
  </si>
  <si>
    <t>Vol. change</t>
  </si>
  <si>
    <t>cm3</t>
  </si>
  <si>
    <t>m3</t>
  </si>
  <si>
    <t>mm</t>
  </si>
  <si>
    <t>m</t>
  </si>
  <si>
    <t>granula vol.</t>
  </si>
  <si>
    <t>mean size dia</t>
  </si>
  <si>
    <t>number of granula</t>
  </si>
  <si>
    <t>total area</t>
  </si>
  <si>
    <t>current density</t>
  </si>
  <si>
    <t>N/A</t>
  </si>
  <si>
    <t>12 (NaAc); 50 (PBS)</t>
  </si>
  <si>
    <t>Zhu et al. 2013</t>
  </si>
  <si>
    <t>Midpoint potential</t>
  </si>
  <si>
    <t>+0.14</t>
  </si>
  <si>
    <t>+0.15</t>
  </si>
  <si>
    <t>+0.02</t>
  </si>
  <si>
    <t>+0.37</t>
  </si>
  <si>
    <t>+0.20</t>
  </si>
  <si>
    <t>+0.70</t>
  </si>
  <si>
    <t>+0.40</t>
  </si>
  <si>
    <t>Aelterman et al. 2008</t>
  </si>
  <si>
    <t>Wang et al. 2009</t>
  </si>
  <si>
    <t>Busalmen et al. 2008</t>
  </si>
  <si>
    <t>Bond &amp; Lovley 2003</t>
  </si>
  <si>
    <t>Ketep et al. 2013</t>
  </si>
  <si>
    <t>surface area</t>
  </si>
  <si>
    <t>total sphere</t>
  </si>
  <si>
    <t>m2</t>
  </si>
  <si>
    <t>mA</t>
  </si>
  <si>
    <t xml:space="preserve">current </t>
  </si>
  <si>
    <t>10 (Glucose); 50 (PBS)</t>
  </si>
  <si>
    <t>Lower charge transfer resistance; higher sustrate driving force; accelerated start-up time</t>
  </si>
  <si>
    <t>Higher charge transfer resistance; lower susbtrate driving force; slower start-up time</t>
  </si>
  <si>
    <t>Same start-up time; lower respiration rate and highest biomass production at higher enrichment potential</t>
  </si>
  <si>
    <t>More dominated Geobacter sp. achieved through secondary enrichment</t>
  </si>
  <si>
    <t>5 (NaAc); 5 (PBS)</t>
  </si>
  <si>
    <t>Primary enrichment; Geobacter sp and Desulfuromonas sp. were dominating species on bioanodes</t>
  </si>
  <si>
    <t>+0.04</t>
  </si>
  <si>
    <t>Secondary enrichments produced almost the same current as primary enrichment but can survive at lower enrichment potential; Geobacter sp. almost dissapear</t>
  </si>
  <si>
    <t xml:space="preserve">Desulfuromonas sp. was the only dominating species after tertiary enrichment; Midpoint potential -0.16V almost disappears after tertiary enrichment. </t>
  </si>
  <si>
    <t>Primary enrichment produced no current due to low enrichment potential</t>
  </si>
  <si>
    <t>Wei et al. 2010</t>
  </si>
  <si>
    <t>500Ω</t>
  </si>
  <si>
    <t>20 (NaAc); 47 (PBS)</t>
  </si>
  <si>
    <t>18 (NaAc); 64 (PBS)</t>
  </si>
  <si>
    <t>+0.3</t>
  </si>
  <si>
    <t>+0.8</t>
  </si>
  <si>
    <t>Pure culture Geobacter sulfurreducens was used</t>
  </si>
  <si>
    <t>+0.03</t>
  </si>
  <si>
    <t xml:space="preserve">*'Normalised value </t>
  </si>
  <si>
    <t>5.5 (NaAc); 0.43 (PBS)</t>
  </si>
  <si>
    <t>500 Ω</t>
  </si>
  <si>
    <t>1000 Ω</t>
  </si>
  <si>
    <t>Microbial Community/Significant Observation</t>
  </si>
  <si>
    <t>Power overshoot when higher potential was introduced due to the lack of sufficient electron transfer components to shuttle electrons</t>
  </si>
  <si>
    <t xml:space="preserve">Small amount of biomass was gained while higest enrichment potential was used and substrate oxidation reduced significantly </t>
  </si>
  <si>
    <t>Biomass was gained and power density was increased; Significant substrate oxidation; current generation was propotionated to biomass for all condition; single culture Geobacter sulfurreducens was used in the study</t>
  </si>
  <si>
    <t>Pure culture Geobacter sulfurreducens was used; new redox coulples were detected indicated new electron transfer mechanism was performed at higher enrichment potential</t>
  </si>
  <si>
    <t>1.5*</t>
  </si>
  <si>
    <t>2.4*</t>
  </si>
  <si>
    <t>&lt;0.030</t>
  </si>
  <si>
    <t xml:space="preserve">Higher enrichment potential favoured bioanode electroactivity as electron transfer components increased </t>
  </si>
  <si>
    <t xml:space="preserve">Hydrogen production rate </t>
  </si>
  <si>
    <t>Hydrogen recovery</t>
  </si>
  <si>
    <t xml:space="preserve">Biocathode catalyst </t>
  </si>
  <si>
    <t>Mode of operation</t>
  </si>
  <si>
    <t xml:space="preserve">Cathodic potential </t>
  </si>
  <si>
    <t>Villano et al 2011</t>
  </si>
  <si>
    <t>%</t>
  </si>
  <si>
    <t>Batch</t>
  </si>
  <si>
    <t>Hydrogenophilic dechlorinating bacteria</t>
  </si>
  <si>
    <t>Bioanode catalyst</t>
  </si>
  <si>
    <t>Jeremiasse et al 2010</t>
  </si>
  <si>
    <t>Continuous</t>
  </si>
  <si>
    <t>Enriched electrochemically active culture from MEC</t>
  </si>
  <si>
    <t>This study</t>
  </si>
  <si>
    <t xml:space="preserve">Enriched electrochemically active culture from MFC </t>
  </si>
  <si>
    <t>Enriched electrochemically active culture from MFC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</si>
  <si>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</si>
  <si>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reactor/day</t>
    </r>
  </si>
  <si>
    <r>
      <t>A/m</t>
    </r>
    <r>
      <rPr>
        <vertAlign val="superscript"/>
        <sz val="11"/>
        <color theme="1"/>
        <rFont val="Calibri"/>
        <family val="2"/>
        <scheme val="minor"/>
      </rPr>
      <t>2</t>
    </r>
  </si>
  <si>
    <t>Acetate</t>
  </si>
  <si>
    <t>Rozendal et al. 2008</t>
  </si>
  <si>
    <t>-</t>
  </si>
  <si>
    <t>Ferricyanide/ferrocyanide</t>
  </si>
  <si>
    <t>Batlle-Vilanova et al. 2014</t>
  </si>
  <si>
    <r>
      <t>47 A/m</t>
    </r>
    <r>
      <rPr>
        <vertAlign val="superscript"/>
        <sz val="11"/>
        <color theme="1"/>
        <rFont val="Calibri"/>
        <family val="2"/>
        <scheme val="minor"/>
      </rPr>
      <t>3</t>
    </r>
  </si>
  <si>
    <t>Inoculum from urban WWTP and and MFC treating WW</t>
  </si>
  <si>
    <t xml:space="preserve">Same as catholyte </t>
  </si>
  <si>
    <t xml:space="preserve">Vital ingredient in catholyte   </t>
  </si>
  <si>
    <t>Vital ingredient in anolyte</t>
  </si>
  <si>
    <t>Zaybak et al. 2013</t>
  </si>
  <si>
    <t xml:space="preserve">Pre-enriched culture from bog sediment </t>
  </si>
  <si>
    <t>1.9g/L acetate; 2.09 g/L propionate; 2.25 g/L butyrate; 26.82 mg/L butanol; 16.04 mg/L ethanol; 0.16 mmol H2 (after 70 days operation)</t>
  </si>
  <si>
    <t>Luo et al. 2014</t>
  </si>
  <si>
    <t>0.49 mg/day SO4-2 removal</t>
  </si>
  <si>
    <t>Enriched electrochemically active culture from previous MFC treating phenol</t>
  </si>
  <si>
    <t>SO42-</t>
  </si>
  <si>
    <t>5.81 mg/day SO4-2 removal</t>
  </si>
  <si>
    <t>Pre-enriched domestic WW using 0.1 g/L SO42-</t>
  </si>
  <si>
    <t>5.9 (e- recovery)</t>
  </si>
  <si>
    <t>47.7 (e- recovery)</t>
  </si>
  <si>
    <t>0.8 (applied volatge)</t>
  </si>
  <si>
    <t>27 (e- recovery)</t>
  </si>
  <si>
    <r>
      <t>Acetate then CO</t>
    </r>
    <r>
      <rPr>
        <vertAlign val="subscript"/>
        <sz val="11"/>
        <color theme="1"/>
        <rFont val="Calibri"/>
        <family val="2"/>
        <scheme val="minor"/>
      </rPr>
      <t>2</t>
    </r>
  </si>
  <si>
    <t>Ferrocyanide</t>
  </si>
  <si>
    <t>Jeremiasse et al. 2011</t>
  </si>
  <si>
    <t>Jourdin et al. 2015</t>
  </si>
  <si>
    <t>Inoculum from UASB and enriched over 5 years in MECs</t>
  </si>
  <si>
    <t>Hydrogenophilic dechlorinating culture</t>
  </si>
  <si>
    <t>Effluent from an active bioelectrochemical cell</t>
  </si>
  <si>
    <t xml:space="preserve">Mixed microbial consortia from pond sediments and WWTP anaerobic digester </t>
  </si>
  <si>
    <t xml:space="preserve">phospate buffer </t>
  </si>
  <si>
    <t>9.2 L H2/m2/day</t>
  </si>
  <si>
    <t>Aulenta et al. 2012</t>
  </si>
  <si>
    <t>8 mM/day</t>
  </si>
  <si>
    <t>Lactate + SO42-</t>
  </si>
  <si>
    <t>Desulfovibrio paquesii</t>
  </si>
  <si>
    <t>Double-chamber MEC with both electrochemically active bioanode and biocathode</t>
  </si>
  <si>
    <t>Double-chamber Half-cell MEC only focused on biocathode performance</t>
  </si>
  <si>
    <t>Cheng et al. 2012</t>
  </si>
  <si>
    <t>87.3 (CE-cathodic denitrification)</t>
  </si>
  <si>
    <t>85.3 (CE-acetate oxidation)</t>
  </si>
  <si>
    <t xml:space="preserve">NO3- </t>
  </si>
  <si>
    <t>Activated sludge from municipal WWTP</t>
  </si>
  <si>
    <t>same with catholyte witout Ac or NO3-</t>
  </si>
  <si>
    <t>Same as catholyte without Lactate + SO42-</t>
  </si>
  <si>
    <t>-40 mA</t>
  </si>
  <si>
    <t>+75 mA</t>
  </si>
  <si>
    <t>Alkalinity produced from cathodic denitrification partially (19%) neutralised the acidity of the anodic reaction</t>
  </si>
  <si>
    <t>39 % SO42- removal</t>
  </si>
  <si>
    <t>Wang et al. 2010</t>
  </si>
  <si>
    <t xml:space="preserve">Platinum-coated cathode </t>
  </si>
  <si>
    <t>Sewage sluge from municipal WWTP</t>
  </si>
  <si>
    <t>Phosphate buffer solution</t>
  </si>
  <si>
    <t xml:space="preserve">MEC with abiotic cathode </t>
  </si>
  <si>
    <t xml:space="preserve">MEC where the biocathode is not for hydrogen-producing purpose </t>
  </si>
  <si>
    <t>H2 started to produced when anodic potential &lt; -0.15</t>
  </si>
  <si>
    <t>Double-chamber MEC; batch</t>
  </si>
  <si>
    <t>Hari et al. 2016</t>
  </si>
  <si>
    <t>Propionate</t>
  </si>
  <si>
    <t>Camel manure and anaerobic digested sludge</t>
  </si>
  <si>
    <t>Bicarbonate buffer</t>
  </si>
  <si>
    <t>Anodic potential set at 0V</t>
  </si>
  <si>
    <t>Single-chamber MEC; batch</t>
  </si>
  <si>
    <t>Liang et al. 2014</t>
  </si>
  <si>
    <t>Activated sludge</t>
  </si>
  <si>
    <t>Rago et al. 2016</t>
  </si>
  <si>
    <t xml:space="preserve">Same as anolyte </t>
  </si>
  <si>
    <t xml:space="preserve">Inoculum from previous working MFC </t>
  </si>
  <si>
    <t>0.8 (applied voltage)</t>
  </si>
  <si>
    <t>-0.55 (calculated value at applied voltage 0.6V)</t>
  </si>
  <si>
    <t>Zhen et al. 2016</t>
  </si>
  <si>
    <t>Rivera et al 2017</t>
  </si>
  <si>
    <t>3.0 (applied voltage)</t>
  </si>
  <si>
    <t>Ti/RuO mesh cathode</t>
  </si>
  <si>
    <t>MEC fed with grounded submerged aquatic plants</t>
  </si>
  <si>
    <t>Liquid fraction of pressed municipal solid waste (LPW) pH 5.5</t>
  </si>
  <si>
    <t>Type 304 Stainless steel mesh 60</t>
  </si>
  <si>
    <t>Pre-colonised bioanode in two-chamber MFC</t>
  </si>
  <si>
    <t>Rozendal et al. 2007</t>
  </si>
  <si>
    <t>1.0 (applied voltage)</t>
  </si>
  <si>
    <t>Double-chamber MEC; continuous</t>
  </si>
  <si>
    <t xml:space="preserve">Platinum-plating cathode </t>
  </si>
  <si>
    <t>Gas collection chamber without solution</t>
  </si>
  <si>
    <t>Double-chamber MEC; fed-batch</t>
  </si>
  <si>
    <t>Half-cell double-chamber MEC; continuous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</si>
  <si>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applied voltage 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</si>
  <si>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anodic potential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</si>
  <si>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determined from graph at 0.6V applied voltage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</si>
</sst>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6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right" vertical="center"/>
    </xf>
    <xf numFmtId="0" fontId="1" fillId="0" borderId="1" xfId="0" quotePrefix="1" applyFont="1" applyBorder="1" applyAlignment="1">
      <alignment horizontal="right" vertical="center"/>
    </xf>
    <xf numFmtId="165" fontId="1" fillId="0" borderId="1" xfId="0" quotePrefix="1" applyNumberFormat="1" applyFont="1" applyBorder="1" applyAlignment="1">
      <alignment horizontal="right" vertical="center"/>
    </xf>
    <xf numFmtId="2" fontId="1" fillId="0" borderId="1" xfId="0" quotePrefix="1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2" fontId="1" fillId="0" borderId="1" xfId="0" quotePrefix="1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right"/>
    </xf>
    <xf numFmtId="165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2" fontId="1" fillId="0" borderId="1" xfId="0" quotePrefix="1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right"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right"/>
    </xf>
    <xf numFmtId="2" fontId="1" fillId="0" borderId="0" xfId="0" quotePrefix="1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 vertical="center"/>
    </xf>
    <xf numFmtId="0" fontId="0" fillId="0" borderId="0" xfId="0" quotePrefix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quotePrefix="1" applyAlignment="1">
      <alignment horizontal="right" vertical="center" wrapText="1"/>
    </xf>
    <xf numFmtId="0" fontId="0" fillId="0" borderId="0" xfId="0" quotePrefix="1" applyAlignment="1">
      <alignment horizontal="right" vertical="center" wrapText="1"/>
    </xf>
    <xf numFmtId="0" fontId="0" fillId="0" borderId="0" xfId="0" quotePrefix="1" applyAlignment="1">
      <alignment horizontal="center" vertical="center" wrapText="1"/>
    </xf>
    <xf numFmtId="0" fontId="0" fillId="0" borderId="0" xfId="0" quotePrefix="1" applyAlignment="1">
      <alignment horizontal="right" wrapText="1"/>
    </xf>
    <xf numFmtId="0" fontId="0" fillId="0" borderId="0" xfId="0" quotePrefix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43"/>
  <sheetViews>
    <sheetView workbookViewId="0">
      <selection activeCell="A6" sqref="A6:G7"/>
    </sheetView>
  </sheetViews>
  <sheetFormatPr defaultRowHeight="15.75" x14ac:dyDescent="0.25"/>
  <cols>
    <col min="1" max="1" width="18.85546875" style="1" bestFit="1" customWidth="1"/>
    <col min="2" max="2" width="14.7109375" style="1" bestFit="1" customWidth="1"/>
    <col min="3" max="3" width="16.85546875" style="1" bestFit="1" customWidth="1"/>
    <col min="4" max="4" width="21" style="1" bestFit="1" customWidth="1"/>
    <col min="5" max="5" width="44.42578125" style="1" customWidth="1"/>
    <col min="6" max="6" width="28.140625" style="1" hidden="1" customWidth="1"/>
    <col min="7" max="7" width="21" style="1" customWidth="1"/>
    <col min="8" max="8" width="9.140625" style="1"/>
    <col min="9" max="9" width="16.5703125" style="1" bestFit="1" customWidth="1"/>
    <col min="10" max="10" width="14" style="1" bestFit="1" customWidth="1"/>
    <col min="11" max="16384" width="9.140625" style="1"/>
  </cols>
  <sheetData>
    <row r="6" spans="1:11" x14ac:dyDescent="0.25">
      <c r="A6" s="4" t="s">
        <v>0</v>
      </c>
      <c r="B6" s="4" t="s">
        <v>1</v>
      </c>
      <c r="C6" s="4" t="s">
        <v>32</v>
      </c>
      <c r="D6" s="4" t="s">
        <v>10</v>
      </c>
      <c r="E6" s="42" t="s">
        <v>73</v>
      </c>
      <c r="F6" s="42" t="s">
        <v>14</v>
      </c>
      <c r="G6" s="42" t="s">
        <v>3</v>
      </c>
    </row>
    <row r="7" spans="1:11" x14ac:dyDescent="0.25">
      <c r="A7" s="4" t="s">
        <v>4</v>
      </c>
      <c r="B7" s="4" t="s">
        <v>2</v>
      </c>
      <c r="C7" s="4" t="s">
        <v>4</v>
      </c>
      <c r="D7" s="4" t="s">
        <v>11</v>
      </c>
      <c r="E7" s="42"/>
      <c r="F7" s="42"/>
      <c r="G7" s="42"/>
    </row>
    <row r="8" spans="1:11" x14ac:dyDescent="0.25">
      <c r="A8" s="9" t="s">
        <v>36</v>
      </c>
      <c r="B8" s="6">
        <v>0.6</v>
      </c>
      <c r="C8" s="11" t="s">
        <v>34</v>
      </c>
      <c r="D8" s="40" t="s">
        <v>12</v>
      </c>
      <c r="E8" s="7" t="s">
        <v>8</v>
      </c>
      <c r="F8" s="12"/>
      <c r="G8" s="40" t="s">
        <v>9</v>
      </c>
    </row>
    <row r="9" spans="1:11" x14ac:dyDescent="0.25">
      <c r="A9" s="9" t="s">
        <v>35</v>
      </c>
      <c r="B9" s="10">
        <v>2</v>
      </c>
      <c r="C9" s="11" t="s">
        <v>33</v>
      </c>
      <c r="D9" s="40"/>
      <c r="E9" s="7" t="s">
        <v>7</v>
      </c>
      <c r="F9" s="12"/>
      <c r="G9" s="40"/>
    </row>
    <row r="10" spans="1:11" x14ac:dyDescent="0.25">
      <c r="A10" s="5">
        <v>-0.09</v>
      </c>
      <c r="B10" s="8">
        <v>6</v>
      </c>
      <c r="C10" s="13">
        <v>-0.16</v>
      </c>
      <c r="D10" s="40"/>
      <c r="E10" s="7" t="s">
        <v>6</v>
      </c>
      <c r="F10" s="12"/>
      <c r="G10" s="40"/>
    </row>
    <row r="11" spans="1:11" x14ac:dyDescent="0.25">
      <c r="A11" s="5">
        <v>-0.15</v>
      </c>
      <c r="B11" s="6">
        <v>10.3</v>
      </c>
      <c r="C11" s="13">
        <v>-0.16</v>
      </c>
      <c r="D11" s="40"/>
      <c r="E11" s="7" t="s">
        <v>5</v>
      </c>
      <c r="F11" s="12"/>
      <c r="G11" s="40"/>
    </row>
    <row r="12" spans="1:11" x14ac:dyDescent="0.25">
      <c r="A12" s="5"/>
      <c r="B12" s="6"/>
      <c r="C12" s="13"/>
      <c r="D12" s="7"/>
      <c r="E12" s="7"/>
      <c r="F12" s="7"/>
      <c r="G12" s="12"/>
    </row>
    <row r="13" spans="1:11" x14ac:dyDescent="0.25">
      <c r="A13" s="11" t="s">
        <v>38</v>
      </c>
      <c r="B13" s="6">
        <f>10.18/1000/0.22</f>
        <v>4.6272727272727271E-2</v>
      </c>
      <c r="C13" s="31">
        <f>-0.3+0.2</f>
        <v>-9.9999999999999978E-2</v>
      </c>
      <c r="D13" s="40" t="s">
        <v>30</v>
      </c>
      <c r="E13" s="46" t="s">
        <v>81</v>
      </c>
      <c r="F13" s="7"/>
      <c r="G13" s="40" t="s">
        <v>31</v>
      </c>
    </row>
    <row r="14" spans="1:11" x14ac:dyDescent="0.25">
      <c r="A14" s="11" t="s">
        <v>37</v>
      </c>
      <c r="B14" s="6">
        <f>10.34/1000/0.22</f>
        <v>4.7E-2</v>
      </c>
      <c r="C14" s="31">
        <f>-0.3+0.2</f>
        <v>-9.9999999999999978E-2</v>
      </c>
      <c r="D14" s="40"/>
      <c r="E14" s="47"/>
      <c r="F14" s="7"/>
      <c r="G14" s="40"/>
    </row>
    <row r="15" spans="1:11" x14ac:dyDescent="0.25">
      <c r="A15" s="13">
        <f>-0.24+0.2</f>
        <v>-3.999999999999998E-2</v>
      </c>
      <c r="B15" s="6">
        <f>7.65/1000/0.22</f>
        <v>3.4772727272727275E-2</v>
      </c>
      <c r="C15" s="31">
        <f>-0.3+0.2</f>
        <v>-9.9999999999999978E-2</v>
      </c>
      <c r="D15" s="40"/>
      <c r="E15" s="48"/>
      <c r="F15" s="7"/>
      <c r="G15" s="40"/>
    </row>
    <row r="16" spans="1:11" ht="47.25" x14ac:dyDescent="0.25">
      <c r="A16" s="13">
        <f>-0.46+0.2</f>
        <v>-0.26</v>
      </c>
      <c r="B16" s="6">
        <f>1.06/1000/0.22</f>
        <v>4.8181818181818178E-3</v>
      </c>
      <c r="C16" s="31">
        <f>-0.3+0.2</f>
        <v>-9.9999999999999978E-2</v>
      </c>
      <c r="D16" s="40"/>
      <c r="E16" s="32" t="s">
        <v>74</v>
      </c>
      <c r="F16" s="7"/>
      <c r="G16" s="40"/>
      <c r="I16" s="1" t="s">
        <v>19</v>
      </c>
      <c r="J16" s="1">
        <f>316-120</f>
        <v>196</v>
      </c>
      <c r="K16" s="1" t="s">
        <v>20</v>
      </c>
    </row>
    <row r="17" spans="1:11" x14ac:dyDescent="0.25">
      <c r="A17" s="15"/>
      <c r="B17" s="15"/>
      <c r="C17" s="15"/>
      <c r="D17" s="15"/>
      <c r="E17" s="15"/>
      <c r="F17" s="15"/>
      <c r="G17" s="15"/>
      <c r="J17" s="2">
        <f>J16/1000000</f>
        <v>1.9599999999999999E-4</v>
      </c>
      <c r="K17" s="1" t="s">
        <v>21</v>
      </c>
    </row>
    <row r="18" spans="1:11" x14ac:dyDescent="0.25">
      <c r="A18" s="16" t="s">
        <v>39</v>
      </c>
      <c r="B18" s="8">
        <v>2.5</v>
      </c>
      <c r="C18" s="31">
        <f>-0.3+0.2</f>
        <v>-9.9999999999999978E-2</v>
      </c>
      <c r="D18" s="40" t="s">
        <v>13</v>
      </c>
      <c r="E18" s="17" t="s">
        <v>17</v>
      </c>
      <c r="F18" s="17" t="s">
        <v>16</v>
      </c>
      <c r="G18" s="40" t="s">
        <v>18</v>
      </c>
      <c r="I18" s="1" t="s">
        <v>25</v>
      </c>
      <c r="J18" s="1">
        <f>AVERAGE(2,6)</f>
        <v>4</v>
      </c>
      <c r="K18" s="1" t="s">
        <v>22</v>
      </c>
    </row>
    <row r="19" spans="1:11" ht="31.5" x14ac:dyDescent="0.25">
      <c r="A19" s="16" t="s">
        <v>39</v>
      </c>
      <c r="B19" s="6">
        <v>5</v>
      </c>
      <c r="C19" s="31">
        <f>-0.3+0.2</f>
        <v>-9.9999999999999978E-2</v>
      </c>
      <c r="D19" s="40"/>
      <c r="E19" s="26" t="s">
        <v>54</v>
      </c>
      <c r="F19" s="17" t="s">
        <v>15</v>
      </c>
      <c r="G19" s="40"/>
      <c r="J19" s="1">
        <f>J18/1000</f>
        <v>4.0000000000000001E-3</v>
      </c>
      <c r="K19" s="1" t="s">
        <v>23</v>
      </c>
    </row>
    <row r="20" spans="1:11" x14ac:dyDescent="0.25">
      <c r="A20" s="30"/>
      <c r="B20" s="38"/>
      <c r="C20" s="39"/>
      <c r="D20" s="35"/>
      <c r="E20" s="35"/>
      <c r="F20" s="35"/>
      <c r="G20" s="37"/>
      <c r="I20" s="1" t="s">
        <v>24</v>
      </c>
      <c r="J20" s="1">
        <f>4/3*PI()*(J19/2)^3</f>
        <v>3.3510321638291127E-8</v>
      </c>
      <c r="K20" s="1" t="s">
        <v>21</v>
      </c>
    </row>
    <row r="21" spans="1:11" x14ac:dyDescent="0.25">
      <c r="A21" s="22" t="s">
        <v>37</v>
      </c>
      <c r="B21" s="21">
        <f>J31</f>
        <v>0.63643764246173884</v>
      </c>
      <c r="C21" s="25">
        <v>-0.2</v>
      </c>
      <c r="D21" s="40" t="s">
        <v>64</v>
      </c>
      <c r="E21" s="43" t="s">
        <v>53</v>
      </c>
      <c r="F21" s="15"/>
      <c r="G21" s="40" t="s">
        <v>40</v>
      </c>
      <c r="I21" s="1" t="s">
        <v>26</v>
      </c>
      <c r="J21" s="3">
        <f>J17/J20</f>
        <v>5848.9441586271532</v>
      </c>
    </row>
    <row r="22" spans="1:11" x14ac:dyDescent="0.25">
      <c r="A22" s="24">
        <v>0</v>
      </c>
      <c r="B22" s="21">
        <f>J30</f>
        <v>0.92657114946271557</v>
      </c>
      <c r="C22" s="25">
        <v>-0.2</v>
      </c>
      <c r="D22" s="40"/>
      <c r="E22" s="44"/>
      <c r="F22" s="15"/>
      <c r="G22" s="40"/>
      <c r="I22" s="1" t="s">
        <v>27</v>
      </c>
      <c r="J22" s="1">
        <f>J21*(4*PI()*(J19/2)^2)</f>
        <v>0.29399999999999993</v>
      </c>
    </row>
    <row r="23" spans="1:11" x14ac:dyDescent="0.25">
      <c r="A23" s="24">
        <v>-0.2</v>
      </c>
      <c r="B23" s="21">
        <f>J29</f>
        <v>0.81716053402800382</v>
      </c>
      <c r="C23" s="25">
        <v>-0.2</v>
      </c>
      <c r="D23" s="40"/>
      <c r="E23" s="45"/>
      <c r="F23" s="15"/>
      <c r="G23" s="40"/>
      <c r="I23" s="1" t="s">
        <v>28</v>
      </c>
      <c r="J23" s="1">
        <f>70/1000/J22</f>
        <v>0.23809523809523817</v>
      </c>
      <c r="K23" s="1" t="s">
        <v>2</v>
      </c>
    </row>
    <row r="24" spans="1:11" x14ac:dyDescent="0.25">
      <c r="A24" s="18"/>
    </row>
    <row r="25" spans="1:11" ht="31.5" x14ac:dyDescent="0.25">
      <c r="A25" s="14">
        <v>0</v>
      </c>
      <c r="B25" s="6">
        <f>J42</f>
        <v>0.6</v>
      </c>
      <c r="C25" s="27" t="s">
        <v>29</v>
      </c>
      <c r="D25" s="40" t="s">
        <v>50</v>
      </c>
      <c r="E25" s="23" t="s">
        <v>51</v>
      </c>
      <c r="F25" s="15"/>
      <c r="G25" s="49" t="s">
        <v>41</v>
      </c>
      <c r="I25" s="19" t="s">
        <v>40</v>
      </c>
    </row>
    <row r="26" spans="1:11" ht="31.5" x14ac:dyDescent="0.25">
      <c r="A26" s="5" t="s">
        <v>72</v>
      </c>
      <c r="B26" s="6">
        <f>J43</f>
        <v>8.5999999999999993E-2</v>
      </c>
      <c r="C26" s="27" t="s">
        <v>29</v>
      </c>
      <c r="D26" s="40"/>
      <c r="E26" s="23" t="s">
        <v>52</v>
      </c>
      <c r="F26" s="15"/>
      <c r="G26" s="51"/>
      <c r="I26" s="1" t="s">
        <v>46</v>
      </c>
      <c r="J26" s="1">
        <f>0.000111/0.000000018</f>
        <v>6166.666666666667</v>
      </c>
      <c r="K26" s="1" t="s">
        <v>47</v>
      </c>
    </row>
    <row r="27" spans="1:11" x14ac:dyDescent="0.25">
      <c r="A27" s="18"/>
      <c r="I27" s="1" t="s">
        <v>45</v>
      </c>
      <c r="J27" s="1">
        <f>0.0000332*J26</f>
        <v>0.20473333333333335</v>
      </c>
    </row>
    <row r="28" spans="1:11" ht="47.25" x14ac:dyDescent="0.25">
      <c r="A28" s="22" t="s">
        <v>57</v>
      </c>
      <c r="B28" s="21">
        <v>5.5</v>
      </c>
      <c r="C28" s="24">
        <v>-0.16</v>
      </c>
      <c r="D28" s="40" t="s">
        <v>55</v>
      </c>
      <c r="E28" s="23" t="s">
        <v>56</v>
      </c>
      <c r="F28" s="15"/>
      <c r="G28" s="40" t="s">
        <v>44</v>
      </c>
      <c r="I28" s="1" t="s">
        <v>48</v>
      </c>
      <c r="J28" s="1" t="s">
        <v>2</v>
      </c>
    </row>
    <row r="29" spans="1:11" ht="63" x14ac:dyDescent="0.25">
      <c r="A29" s="20">
        <v>-0.16</v>
      </c>
      <c r="B29" s="21">
        <v>6</v>
      </c>
      <c r="C29" s="28">
        <v>-0.16</v>
      </c>
      <c r="D29" s="40"/>
      <c r="E29" s="23" t="s">
        <v>58</v>
      </c>
      <c r="F29" s="15"/>
      <c r="G29" s="40"/>
      <c r="I29" s="1">
        <v>167.3</v>
      </c>
      <c r="J29" s="1">
        <f>I29/1000/J27</f>
        <v>0.81716053402800382</v>
      </c>
    </row>
    <row r="30" spans="1:11" ht="63" x14ac:dyDescent="0.25">
      <c r="A30" s="20">
        <v>-0.16</v>
      </c>
      <c r="B30" s="21">
        <v>5.65</v>
      </c>
      <c r="C30" s="28">
        <v>-0.16</v>
      </c>
      <c r="D30" s="40"/>
      <c r="E30" s="29" t="s">
        <v>59</v>
      </c>
      <c r="F30" s="15"/>
      <c r="G30" s="40"/>
      <c r="I30" s="1">
        <v>189.7</v>
      </c>
      <c r="J30" s="1">
        <f>I30/1000/J27</f>
        <v>0.92657114946271557</v>
      </c>
    </row>
    <row r="31" spans="1:11" ht="31.5" x14ac:dyDescent="0.25">
      <c r="A31" s="15">
        <v>-0.16</v>
      </c>
      <c r="B31" s="24" t="s">
        <v>80</v>
      </c>
      <c r="C31" s="24" t="s">
        <v>29</v>
      </c>
      <c r="D31" s="40"/>
      <c r="E31" s="23" t="s">
        <v>60</v>
      </c>
      <c r="F31" s="15"/>
      <c r="G31" s="40"/>
      <c r="I31" s="1">
        <v>130.30000000000001</v>
      </c>
      <c r="J31" s="1">
        <f>I31/1000/J27</f>
        <v>0.63643764246173884</v>
      </c>
    </row>
    <row r="33" spans="1:11" ht="47.25" x14ac:dyDescent="0.25">
      <c r="A33" s="9" t="s">
        <v>39</v>
      </c>
      <c r="B33" s="6">
        <f>K35</f>
        <v>1.0349999999999999</v>
      </c>
      <c r="C33" s="31">
        <v>-0.105</v>
      </c>
      <c r="D33" s="49" t="s">
        <v>63</v>
      </c>
      <c r="E33" s="32" t="s">
        <v>75</v>
      </c>
      <c r="F33" s="15"/>
      <c r="G33" s="49" t="s">
        <v>61</v>
      </c>
      <c r="I33" s="19" t="s">
        <v>61</v>
      </c>
      <c r="J33" s="1" t="s">
        <v>48</v>
      </c>
      <c r="K33" s="1" t="s">
        <v>2</v>
      </c>
    </row>
    <row r="34" spans="1:11" x14ac:dyDescent="0.25">
      <c r="A34" s="14">
        <v>0</v>
      </c>
      <c r="B34" s="6">
        <f>K34</f>
        <v>1.0249999999999999</v>
      </c>
      <c r="C34" s="31">
        <v>-0.105</v>
      </c>
      <c r="D34" s="50"/>
      <c r="E34" s="46" t="s">
        <v>76</v>
      </c>
      <c r="F34" s="15"/>
      <c r="G34" s="50"/>
      <c r="I34" s="1">
        <v>0</v>
      </c>
      <c r="J34" s="1">
        <v>2.0499999999999998</v>
      </c>
      <c r="K34" s="1">
        <f>J34/1000/(2*4*2.5/10000)</f>
        <v>1.0249999999999999</v>
      </c>
    </row>
    <row r="35" spans="1:11" x14ac:dyDescent="0.25">
      <c r="A35" s="5">
        <v>-0.16</v>
      </c>
      <c r="B35" s="6">
        <f>K37</f>
        <v>0.66</v>
      </c>
      <c r="C35" s="31">
        <v>-0.105</v>
      </c>
      <c r="D35" s="50"/>
      <c r="E35" s="48"/>
      <c r="F35" s="15"/>
      <c r="G35" s="50"/>
      <c r="I35" s="1">
        <v>0.4</v>
      </c>
      <c r="J35" s="1">
        <v>2.0699999999999998</v>
      </c>
      <c r="K35" s="1">
        <f t="shared" ref="K35:K37" si="0">J35/1000/(2*4*2.5/10000)</f>
        <v>1.0349999999999999</v>
      </c>
    </row>
    <row r="36" spans="1:11" x14ac:dyDescent="0.25">
      <c r="A36" s="5" t="s">
        <v>71</v>
      </c>
      <c r="B36" s="6">
        <f>K36</f>
        <v>0.47</v>
      </c>
      <c r="C36" s="31">
        <v>-0.105</v>
      </c>
      <c r="D36" s="51"/>
      <c r="E36" s="32"/>
      <c r="F36" s="15"/>
      <c r="G36" s="51"/>
      <c r="I36" s="30" t="s">
        <v>62</v>
      </c>
      <c r="J36" s="1">
        <v>0.94</v>
      </c>
      <c r="K36" s="1">
        <f t="shared" si="0"/>
        <v>0.47</v>
      </c>
    </row>
    <row r="37" spans="1:11" x14ac:dyDescent="0.25">
      <c r="I37" s="1">
        <v>-0.16</v>
      </c>
      <c r="J37" s="1">
        <v>1.32</v>
      </c>
      <c r="K37" s="1">
        <f t="shared" si="0"/>
        <v>0.66</v>
      </c>
    </row>
    <row r="38" spans="1:11" x14ac:dyDescent="0.25">
      <c r="A38" s="22" t="s">
        <v>39</v>
      </c>
      <c r="B38" s="15">
        <v>1.143</v>
      </c>
      <c r="C38" s="15">
        <v>-0.23</v>
      </c>
      <c r="D38" s="40" t="s">
        <v>55</v>
      </c>
      <c r="E38" s="40" t="s">
        <v>67</v>
      </c>
      <c r="F38" s="15"/>
      <c r="G38" s="40" t="s">
        <v>43</v>
      </c>
    </row>
    <row r="39" spans="1:11" x14ac:dyDescent="0.25">
      <c r="A39" s="22" t="s">
        <v>71</v>
      </c>
      <c r="B39" s="15">
        <v>6.5000000000000002E-2</v>
      </c>
      <c r="C39" s="20" t="s">
        <v>29</v>
      </c>
      <c r="D39" s="40"/>
      <c r="E39" s="40"/>
      <c r="F39" s="15"/>
      <c r="G39" s="40"/>
      <c r="I39" s="19" t="s">
        <v>42</v>
      </c>
    </row>
    <row r="40" spans="1:11" x14ac:dyDescent="0.25">
      <c r="I40" s="1" t="s">
        <v>45</v>
      </c>
      <c r="J40" s="1">
        <f>50/10000</f>
        <v>5.0000000000000001E-3</v>
      </c>
    </row>
    <row r="41" spans="1:11" x14ac:dyDescent="0.25">
      <c r="A41" s="22" t="s">
        <v>66</v>
      </c>
      <c r="B41" s="20" t="s">
        <v>79</v>
      </c>
      <c r="C41" s="22" t="s">
        <v>38</v>
      </c>
      <c r="D41" s="40" t="s">
        <v>70</v>
      </c>
      <c r="E41" s="41" t="s">
        <v>77</v>
      </c>
      <c r="G41" s="40" t="s">
        <v>42</v>
      </c>
      <c r="I41" s="1" t="s">
        <v>49</v>
      </c>
      <c r="J41" s="1">
        <v>3</v>
      </c>
      <c r="K41" s="1" t="s">
        <v>47</v>
      </c>
    </row>
    <row r="42" spans="1:11" x14ac:dyDescent="0.25">
      <c r="A42" s="22" t="s">
        <v>65</v>
      </c>
      <c r="B42" s="20" t="s">
        <v>78</v>
      </c>
      <c r="C42" s="33" t="s">
        <v>68</v>
      </c>
      <c r="D42" s="40"/>
      <c r="E42" s="41"/>
      <c r="G42" s="40"/>
      <c r="J42" s="1">
        <f>J41/1000/J40</f>
        <v>0.6</v>
      </c>
      <c r="K42" s="1" t="s">
        <v>48</v>
      </c>
    </row>
    <row r="43" spans="1:11" x14ac:dyDescent="0.25">
      <c r="B43" s="36" t="s">
        <v>69</v>
      </c>
      <c r="C43" s="34"/>
      <c r="D43" s="35"/>
      <c r="E43" s="35"/>
      <c r="G43" s="35"/>
      <c r="J43" s="1">
        <f>0.43/1000/J40</f>
        <v>8.5999999999999993E-2</v>
      </c>
      <c r="K43" s="1" t="s">
        <v>2</v>
      </c>
    </row>
  </sheetData>
  <mergeCells count="26">
    <mergeCell ref="G33:G36"/>
    <mergeCell ref="D33:D36"/>
    <mergeCell ref="E34:E35"/>
    <mergeCell ref="G21:G23"/>
    <mergeCell ref="D25:D26"/>
    <mergeCell ref="D28:D31"/>
    <mergeCell ref="G28:G31"/>
    <mergeCell ref="G25:G26"/>
    <mergeCell ref="G8:G11"/>
    <mergeCell ref="G18:G19"/>
    <mergeCell ref="G13:G16"/>
    <mergeCell ref="G6:G7"/>
    <mergeCell ref="F6:F7"/>
    <mergeCell ref="E6:E7"/>
    <mergeCell ref="D8:D11"/>
    <mergeCell ref="D13:D16"/>
    <mergeCell ref="D18:D19"/>
    <mergeCell ref="D21:D23"/>
    <mergeCell ref="E21:E23"/>
    <mergeCell ref="E13:E15"/>
    <mergeCell ref="D41:D42"/>
    <mergeCell ref="E41:E42"/>
    <mergeCell ref="G41:G42"/>
    <mergeCell ref="E38:E39"/>
    <mergeCell ref="G38:G39"/>
    <mergeCell ref="D38:D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pane ySplit="2" topLeftCell="A20" activePane="bottomLeft" state="frozen"/>
      <selection pane="bottomLeft" sqref="A1:J31"/>
    </sheetView>
  </sheetViews>
  <sheetFormatPr defaultRowHeight="15" x14ac:dyDescent="0.25"/>
  <cols>
    <col min="1" max="1" width="19.42578125" bestFit="1" customWidth="1"/>
    <col min="2" max="2" width="17.85546875" bestFit="1" customWidth="1"/>
    <col min="3" max="3" width="25.5703125" customWidth="1"/>
    <col min="4" max="4" width="18" bestFit="1" customWidth="1"/>
    <col min="5" max="5" width="16.85546875" customWidth="1"/>
    <col min="6" max="6" width="48" bestFit="1" customWidth="1"/>
    <col min="7" max="7" width="18.5703125" customWidth="1"/>
    <col min="8" max="8" width="47.140625" customWidth="1"/>
    <col min="9" max="9" width="24.5703125" bestFit="1" customWidth="1"/>
    <col min="10" max="10" width="24.28515625" bestFit="1" customWidth="1"/>
  </cols>
  <sheetData>
    <row r="1" spans="1:10" s="56" customFormat="1" x14ac:dyDescent="0.25">
      <c r="A1" s="55" t="s">
        <v>86</v>
      </c>
      <c r="B1" s="55" t="s">
        <v>1</v>
      </c>
      <c r="C1" s="55" t="s">
        <v>82</v>
      </c>
      <c r="D1" s="55" t="s">
        <v>83</v>
      </c>
      <c r="E1" s="58" t="s">
        <v>109</v>
      </c>
      <c r="F1" s="58" t="s">
        <v>84</v>
      </c>
      <c r="G1" s="58" t="s">
        <v>110</v>
      </c>
      <c r="H1" s="58" t="s">
        <v>91</v>
      </c>
      <c r="I1" s="58" t="s">
        <v>85</v>
      </c>
      <c r="J1" s="58" t="s">
        <v>3</v>
      </c>
    </row>
    <row r="2" spans="1:10" ht="18" x14ac:dyDescent="0.25">
      <c r="A2" s="52" t="s">
        <v>4</v>
      </c>
      <c r="B2" s="52" t="s">
        <v>100</v>
      </c>
      <c r="C2" s="52" t="s">
        <v>99</v>
      </c>
      <c r="D2" s="52" t="s">
        <v>88</v>
      </c>
      <c r="E2" s="58"/>
      <c r="F2" s="58"/>
      <c r="G2" s="58"/>
      <c r="H2" s="58"/>
      <c r="I2" s="58"/>
      <c r="J2" s="58"/>
    </row>
    <row r="3" spans="1:10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1:10" x14ac:dyDescent="0.25">
      <c r="A4" s="59" t="s">
        <v>138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s="54" customFormat="1" ht="30" x14ac:dyDescent="0.25">
      <c r="A5" s="65">
        <v>-0.7</v>
      </c>
      <c r="B5" s="65">
        <v>3.3</v>
      </c>
      <c r="C5" s="66">
        <v>0.04</v>
      </c>
      <c r="D5" s="66">
        <v>21</v>
      </c>
      <c r="E5" s="66" t="s">
        <v>98</v>
      </c>
      <c r="F5" s="66" t="s">
        <v>94</v>
      </c>
      <c r="G5" s="66" t="s">
        <v>101</v>
      </c>
      <c r="H5" s="66" t="s">
        <v>94</v>
      </c>
      <c r="I5" s="66" t="s">
        <v>93</v>
      </c>
      <c r="J5" s="66" t="s">
        <v>92</v>
      </c>
    </row>
    <row r="6" spans="1:10" s="54" customFormat="1" ht="18" x14ac:dyDescent="0.25">
      <c r="A6" s="65">
        <v>-0.75</v>
      </c>
      <c r="B6" s="65">
        <v>4.4000000000000004</v>
      </c>
      <c r="C6" s="66">
        <v>0.01</v>
      </c>
      <c r="D6" s="71" t="s">
        <v>103</v>
      </c>
      <c r="E6" s="66" t="s">
        <v>98</v>
      </c>
      <c r="F6" s="66" t="s">
        <v>129</v>
      </c>
      <c r="G6" s="66" t="s">
        <v>98</v>
      </c>
      <c r="H6" s="66" t="s">
        <v>90</v>
      </c>
      <c r="I6" s="66" t="s">
        <v>89</v>
      </c>
      <c r="J6" s="66" t="s">
        <v>87</v>
      </c>
    </row>
    <row r="7" spans="1:10" s="54" customFormat="1" ht="30" x14ac:dyDescent="0.25">
      <c r="A7" s="65">
        <v>-1</v>
      </c>
      <c r="B7" s="65">
        <v>0.98599999999999999</v>
      </c>
      <c r="C7" s="65">
        <v>0.17100000000000001</v>
      </c>
      <c r="D7" s="66">
        <v>96</v>
      </c>
      <c r="E7" s="66" t="s">
        <v>98</v>
      </c>
      <c r="F7" s="66" t="s">
        <v>96</v>
      </c>
      <c r="G7" s="66" t="s">
        <v>101</v>
      </c>
      <c r="H7" s="66" t="s">
        <v>97</v>
      </c>
      <c r="I7" s="66" t="s">
        <v>93</v>
      </c>
      <c r="J7" s="66" t="s">
        <v>95</v>
      </c>
    </row>
    <row r="8" spans="1:10" s="54" customFormat="1" x14ac:dyDescent="0.25"/>
    <row r="9" spans="1:10" s="54" customFormat="1" x14ac:dyDescent="0.25">
      <c r="A9" s="59" t="s">
        <v>139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s="54" customFormat="1" ht="30" x14ac:dyDescent="0.25">
      <c r="A10" s="65">
        <v>-0.7</v>
      </c>
      <c r="B10" s="65">
        <v>1.2</v>
      </c>
      <c r="C10" s="66">
        <v>0.63</v>
      </c>
      <c r="D10" s="66">
        <v>49</v>
      </c>
      <c r="E10" s="66" t="s">
        <v>98</v>
      </c>
      <c r="F10" s="66" t="s">
        <v>130</v>
      </c>
      <c r="G10" s="66" t="s">
        <v>104</v>
      </c>
      <c r="H10" s="71" t="s">
        <v>103</v>
      </c>
      <c r="I10" s="66" t="s">
        <v>93</v>
      </c>
      <c r="J10" s="66" t="s">
        <v>102</v>
      </c>
    </row>
    <row r="11" spans="1:10" s="54" customFormat="1" ht="30" x14ac:dyDescent="0.25">
      <c r="A11" s="65">
        <v>-0.7</v>
      </c>
      <c r="B11" s="65">
        <v>0.6</v>
      </c>
      <c r="C11" s="65">
        <v>2.2000000000000002</v>
      </c>
      <c r="D11" s="71" t="s">
        <v>103</v>
      </c>
      <c r="E11" s="66" t="s">
        <v>124</v>
      </c>
      <c r="F11" s="66" t="s">
        <v>128</v>
      </c>
      <c r="G11" s="66" t="s">
        <v>125</v>
      </c>
      <c r="H11" s="71" t="s">
        <v>103</v>
      </c>
      <c r="I11" s="66" t="s">
        <v>93</v>
      </c>
      <c r="J11" s="66" t="s">
        <v>126</v>
      </c>
    </row>
    <row r="12" spans="1:10" s="54" customFormat="1" ht="30" x14ac:dyDescent="0.25">
      <c r="A12" s="65">
        <v>-0.75</v>
      </c>
      <c r="B12" s="65">
        <v>1.88</v>
      </c>
      <c r="C12" s="68" t="s">
        <v>133</v>
      </c>
      <c r="D12" s="71" t="s">
        <v>103</v>
      </c>
      <c r="E12" s="66" t="s">
        <v>98</v>
      </c>
      <c r="F12" s="66" t="s">
        <v>131</v>
      </c>
      <c r="G12" s="66" t="s">
        <v>132</v>
      </c>
      <c r="H12" s="71" t="s">
        <v>103</v>
      </c>
      <c r="I12" s="66" t="s">
        <v>89</v>
      </c>
      <c r="J12" s="66" t="s">
        <v>127</v>
      </c>
    </row>
    <row r="13" spans="1:10" s="54" customFormat="1" ht="30" x14ac:dyDescent="0.25">
      <c r="A13" s="65">
        <v>-1</v>
      </c>
      <c r="B13" s="68" t="s">
        <v>106</v>
      </c>
      <c r="C13" s="66">
        <v>0.89</v>
      </c>
      <c r="D13" s="68">
        <v>175</v>
      </c>
      <c r="E13" s="66" t="s">
        <v>98</v>
      </c>
      <c r="F13" s="66" t="s">
        <v>107</v>
      </c>
      <c r="G13" s="66" t="s">
        <v>108</v>
      </c>
      <c r="H13" s="71" t="s">
        <v>103</v>
      </c>
      <c r="I13" s="66" t="s">
        <v>89</v>
      </c>
      <c r="J13" s="66" t="s">
        <v>105</v>
      </c>
    </row>
    <row r="14" spans="1:10" s="54" customFormat="1" ht="45" x14ac:dyDescent="0.25">
      <c r="A14" s="65">
        <v>-0.9</v>
      </c>
      <c r="B14" s="65">
        <v>3</v>
      </c>
      <c r="C14" s="68" t="s">
        <v>135</v>
      </c>
      <c r="D14" s="66">
        <v>100</v>
      </c>
      <c r="E14" s="66" t="s">
        <v>136</v>
      </c>
      <c r="F14" s="69" t="s">
        <v>137</v>
      </c>
      <c r="G14" s="66" t="s">
        <v>146</v>
      </c>
      <c r="H14" s="71" t="s">
        <v>103</v>
      </c>
      <c r="I14" s="66" t="s">
        <v>89</v>
      </c>
      <c r="J14" s="66" t="s">
        <v>134</v>
      </c>
    </row>
    <row r="15" spans="1:10" s="54" customFormat="1" x14ac:dyDescent="0.25"/>
    <row r="16" spans="1:10" x14ac:dyDescent="0.25">
      <c r="A16" s="60" t="s">
        <v>155</v>
      </c>
      <c r="B16" s="60"/>
      <c r="C16" s="60"/>
      <c r="D16" s="60"/>
      <c r="E16" s="60"/>
      <c r="F16" s="60"/>
      <c r="G16" s="60"/>
      <c r="H16" s="60"/>
      <c r="I16" s="60"/>
      <c r="J16" s="60"/>
    </row>
    <row r="17" spans="1:10" s="54" customFormat="1" x14ac:dyDescent="0.25">
      <c r="A17" s="54" t="s">
        <v>170</v>
      </c>
      <c r="B17" s="53">
        <v>11</v>
      </c>
      <c r="C17" s="54">
        <v>1.54</v>
      </c>
      <c r="D17" s="54">
        <v>54</v>
      </c>
      <c r="E17" s="77" t="s">
        <v>168</v>
      </c>
      <c r="F17" s="54" t="s">
        <v>152</v>
      </c>
      <c r="G17" s="54" t="s">
        <v>101</v>
      </c>
      <c r="H17" s="54" t="s">
        <v>169</v>
      </c>
      <c r="I17" s="54" t="s">
        <v>164</v>
      </c>
      <c r="J17" s="54" t="s">
        <v>167</v>
      </c>
    </row>
    <row r="18" spans="1:10" s="54" customFormat="1" x14ac:dyDescent="0.25">
      <c r="A18" s="54" t="s">
        <v>170</v>
      </c>
      <c r="B18" s="54">
        <v>1.27</v>
      </c>
      <c r="C18" s="54">
        <v>0.22</v>
      </c>
      <c r="D18" s="54">
        <v>73</v>
      </c>
      <c r="E18" s="77" t="s">
        <v>168</v>
      </c>
      <c r="F18" s="54" t="s">
        <v>178</v>
      </c>
      <c r="G18" s="54" t="s">
        <v>101</v>
      </c>
      <c r="H18" s="54" t="s">
        <v>179</v>
      </c>
      <c r="I18" s="54" t="s">
        <v>164</v>
      </c>
      <c r="J18" s="54" t="s">
        <v>173</v>
      </c>
    </row>
    <row r="19" spans="1:10" s="54" customFormat="1" ht="45" x14ac:dyDescent="0.25">
      <c r="A19" s="54" t="s">
        <v>181</v>
      </c>
      <c r="B19" s="53">
        <v>2.2999999999999998</v>
      </c>
      <c r="C19" s="74">
        <v>0.3</v>
      </c>
      <c r="D19" s="57">
        <v>23</v>
      </c>
      <c r="E19" s="77" t="s">
        <v>184</v>
      </c>
      <c r="F19" s="54" t="s">
        <v>183</v>
      </c>
      <c r="G19" s="54" t="s">
        <v>101</v>
      </c>
      <c r="H19" s="54" t="s">
        <v>130</v>
      </c>
      <c r="I19" s="66" t="s">
        <v>182</v>
      </c>
      <c r="J19" s="54" t="s">
        <v>180</v>
      </c>
    </row>
    <row r="20" spans="1:10" s="54" customFormat="1" x14ac:dyDescent="0.25">
      <c r="A20" s="54" t="s">
        <v>174</v>
      </c>
      <c r="B20" s="53">
        <v>7.5</v>
      </c>
      <c r="C20" s="54">
        <v>0.38</v>
      </c>
      <c r="D20" s="54">
        <v>49.5</v>
      </c>
      <c r="E20" s="77" t="s">
        <v>168</v>
      </c>
      <c r="F20" s="54" t="s">
        <v>175</v>
      </c>
      <c r="G20" s="54" t="s">
        <v>177</v>
      </c>
      <c r="H20" s="54" t="s">
        <v>176</v>
      </c>
      <c r="I20" s="54" t="s">
        <v>164</v>
      </c>
      <c r="J20" s="54" t="s">
        <v>172</v>
      </c>
    </row>
    <row r="21" spans="1:10" s="54" customFormat="1" ht="30" x14ac:dyDescent="0.25">
      <c r="A21" s="66" t="s">
        <v>163</v>
      </c>
      <c r="B21" s="61" t="s">
        <v>103</v>
      </c>
      <c r="C21" s="61" t="s">
        <v>103</v>
      </c>
      <c r="D21" s="61" t="s">
        <v>103</v>
      </c>
      <c r="E21" s="77" t="s">
        <v>162</v>
      </c>
      <c r="F21" s="54" t="s">
        <v>152</v>
      </c>
      <c r="G21" s="54" t="s">
        <v>160</v>
      </c>
      <c r="H21" s="54" t="s">
        <v>161</v>
      </c>
      <c r="I21" s="66" t="s">
        <v>158</v>
      </c>
      <c r="J21" s="54" t="s">
        <v>159</v>
      </c>
    </row>
    <row r="22" spans="1:10" ht="45" x14ac:dyDescent="0.25">
      <c r="A22" s="67" t="s">
        <v>171</v>
      </c>
      <c r="B22" s="53">
        <f>2.4/9*10</f>
        <v>2.6666666666666665</v>
      </c>
      <c r="C22" s="74" t="s">
        <v>157</v>
      </c>
      <c r="D22" s="61" t="s">
        <v>103</v>
      </c>
      <c r="E22" s="77" t="s">
        <v>154</v>
      </c>
      <c r="F22" s="54" t="s">
        <v>152</v>
      </c>
      <c r="G22" s="54" t="s">
        <v>101</v>
      </c>
      <c r="H22" s="54" t="s">
        <v>153</v>
      </c>
      <c r="I22" s="66" t="s">
        <v>158</v>
      </c>
      <c r="J22" s="54" t="s">
        <v>151</v>
      </c>
    </row>
    <row r="23" spans="1:10" x14ac:dyDescent="0.25">
      <c r="A23" s="54">
        <v>-1.0589999999999999</v>
      </c>
      <c r="B23" s="54">
        <v>9.6300000000000008</v>
      </c>
      <c r="C23" s="54">
        <v>0.51</v>
      </c>
      <c r="D23" s="54">
        <v>19.84</v>
      </c>
      <c r="E23" s="77" t="s">
        <v>168</v>
      </c>
      <c r="F23" s="54" t="s">
        <v>166</v>
      </c>
      <c r="G23" s="54" t="s">
        <v>101</v>
      </c>
      <c r="H23" s="54" t="s">
        <v>166</v>
      </c>
      <c r="I23" s="54" t="s">
        <v>164</v>
      </c>
      <c r="J23" s="54" t="s">
        <v>165</v>
      </c>
    </row>
    <row r="25" spans="1:10" x14ac:dyDescent="0.25">
      <c r="A25" s="59" t="s">
        <v>156</v>
      </c>
      <c r="B25" s="59"/>
      <c r="C25" s="59"/>
      <c r="D25" s="59"/>
      <c r="E25" s="59"/>
      <c r="F25" s="59"/>
      <c r="G25" s="59"/>
      <c r="H25" s="59"/>
      <c r="I25" s="59"/>
      <c r="J25" s="59"/>
    </row>
    <row r="26" spans="1:10" ht="30" x14ac:dyDescent="0.25">
      <c r="A26" s="73">
        <v>-0.2</v>
      </c>
      <c r="B26" s="74" t="s">
        <v>148</v>
      </c>
      <c r="C26" s="62" t="s">
        <v>149</v>
      </c>
      <c r="D26" s="64" t="s">
        <v>142</v>
      </c>
      <c r="E26" s="63" t="s">
        <v>101</v>
      </c>
      <c r="F26" s="72" t="s">
        <v>144</v>
      </c>
      <c r="G26" s="72" t="s">
        <v>145</v>
      </c>
      <c r="H26" s="75" t="s">
        <v>103</v>
      </c>
      <c r="I26" s="72" t="s">
        <v>186</v>
      </c>
      <c r="J26" s="72" t="s">
        <v>140</v>
      </c>
    </row>
    <row r="27" spans="1:10" ht="30" x14ac:dyDescent="0.25">
      <c r="A27" s="73"/>
      <c r="B27" s="76" t="s">
        <v>147</v>
      </c>
      <c r="C27" s="62"/>
      <c r="D27" s="64" t="s">
        <v>141</v>
      </c>
      <c r="E27" s="63" t="s">
        <v>143</v>
      </c>
      <c r="F27" s="72"/>
      <c r="G27" s="72"/>
      <c r="H27" s="75"/>
      <c r="I27" s="72"/>
      <c r="J27" s="72"/>
    </row>
    <row r="28" spans="1:10" ht="90" x14ac:dyDescent="0.25">
      <c r="A28" s="66">
        <v>-0.4</v>
      </c>
      <c r="B28" s="65">
        <v>3.4000000000000002E-2</v>
      </c>
      <c r="C28" s="68" t="s">
        <v>113</v>
      </c>
      <c r="D28" s="71" t="s">
        <v>103</v>
      </c>
      <c r="E28" s="63" t="s">
        <v>98</v>
      </c>
      <c r="F28" s="66" t="s">
        <v>112</v>
      </c>
      <c r="G28" s="66" t="s">
        <v>108</v>
      </c>
      <c r="H28" s="66" t="s">
        <v>112</v>
      </c>
      <c r="I28" s="66" t="s">
        <v>158</v>
      </c>
      <c r="J28" s="66" t="s">
        <v>111</v>
      </c>
    </row>
    <row r="29" spans="1:10" ht="30" x14ac:dyDescent="0.25">
      <c r="A29" s="70" t="s">
        <v>122</v>
      </c>
      <c r="B29" s="71" t="s">
        <v>103</v>
      </c>
      <c r="C29" s="68" t="s">
        <v>115</v>
      </c>
      <c r="D29" s="68" t="s">
        <v>120</v>
      </c>
      <c r="E29" s="72" t="s">
        <v>117</v>
      </c>
      <c r="F29" s="72" t="s">
        <v>119</v>
      </c>
      <c r="G29" s="72" t="s">
        <v>101</v>
      </c>
      <c r="H29" s="72" t="s">
        <v>116</v>
      </c>
      <c r="I29" s="66" t="s">
        <v>185</v>
      </c>
      <c r="J29" s="72" t="s">
        <v>114</v>
      </c>
    </row>
    <row r="30" spans="1:10" ht="30" x14ac:dyDescent="0.25">
      <c r="A30" s="70"/>
      <c r="B30" s="71" t="s">
        <v>103</v>
      </c>
      <c r="C30" s="68" t="s">
        <v>118</v>
      </c>
      <c r="D30" s="68" t="s">
        <v>121</v>
      </c>
      <c r="E30" s="72"/>
      <c r="F30" s="72"/>
      <c r="G30" s="72"/>
      <c r="H30" s="72"/>
      <c r="I30" s="66" t="s">
        <v>182</v>
      </c>
      <c r="J30" s="72"/>
    </row>
    <row r="31" spans="1:10" ht="30" x14ac:dyDescent="0.25">
      <c r="A31" s="66">
        <v>-0.9</v>
      </c>
      <c r="B31" s="71" t="s">
        <v>103</v>
      </c>
      <c r="C31" s="68" t="s">
        <v>150</v>
      </c>
      <c r="D31" s="68" t="s">
        <v>123</v>
      </c>
      <c r="E31" s="72"/>
      <c r="F31" s="72"/>
      <c r="G31" s="72"/>
      <c r="H31" s="72"/>
      <c r="I31" s="66" t="s">
        <v>185</v>
      </c>
      <c r="J31" s="72"/>
    </row>
    <row r="33" spans="1:1" ht="17.25" x14ac:dyDescent="0.25">
      <c r="A33" t="s">
        <v>187</v>
      </c>
    </row>
    <row r="34" spans="1:1" ht="17.25" x14ac:dyDescent="0.25">
      <c r="A34" t="s">
        <v>188</v>
      </c>
    </row>
    <row r="35" spans="1:1" ht="17.25" x14ac:dyDescent="0.25">
      <c r="A35" t="s">
        <v>189</v>
      </c>
    </row>
  </sheetData>
  <mergeCells count="23">
    <mergeCell ref="C26:C27"/>
    <mergeCell ref="J1:J2"/>
    <mergeCell ref="I1:I2"/>
    <mergeCell ref="H1:H2"/>
    <mergeCell ref="G1:G2"/>
    <mergeCell ref="F1:F2"/>
    <mergeCell ref="E1:E2"/>
    <mergeCell ref="A4:J4"/>
    <mergeCell ref="A16:J16"/>
    <mergeCell ref="H26:H27"/>
    <mergeCell ref="J26:J27"/>
    <mergeCell ref="A29:A30"/>
    <mergeCell ref="E29:E31"/>
    <mergeCell ref="G29:G31"/>
    <mergeCell ref="H29:H31"/>
    <mergeCell ref="J29:J31"/>
    <mergeCell ref="A26:A27"/>
    <mergeCell ref="I26:I27"/>
    <mergeCell ref="F29:F31"/>
    <mergeCell ref="F26:F27"/>
    <mergeCell ref="G26:G27"/>
    <mergeCell ref="A9:J9"/>
    <mergeCell ref="A25:J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Anode</vt:lpstr>
      <vt:lpstr>Cathode </vt:lpstr>
    </vt:vector>
  </TitlesOfParts>
  <Company>Newcastle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 Su Lim (PGR)</dc:creator>
  <cp:lastModifiedBy>Swee Su Lim (PGR)</cp:lastModifiedBy>
  <dcterms:created xsi:type="dcterms:W3CDTF">2016-06-19T16:48:40Z</dcterms:created>
  <dcterms:modified xsi:type="dcterms:W3CDTF">2017-03-06T16:07:00Z</dcterms:modified>
</cp:coreProperties>
</file>