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hD\Results\Pilot Reactors\Exp_Materials-June14_Aug14\Molecular Analyses\Pathogen-MassBalance\"/>
    </mc:Choice>
  </mc:AlternateContent>
  <bookViews>
    <workbookView xWindow="0" yWindow="0" windowWidth="18645" windowHeight="7395" firstSheet="2" activeTab="5"/>
  </bookViews>
  <sheets>
    <sheet name="PathogenRA" sheetId="2" r:id="rId1"/>
    <sheet name="Sheet4" sheetId="5" r:id="rId2"/>
    <sheet name="PathogenTOT WT" sheetId="3" r:id="rId3"/>
    <sheet name="PathogenTOT GRAIN" sheetId="4" r:id="rId4"/>
    <sheet name="TCC_Material" sheetId="6" r:id="rId5"/>
    <sheet name="Log-reduction" sheetId="7" r:id="rId6"/>
  </sheets>
  <calcPr calcId="152511"/>
</workbook>
</file>

<file path=xl/calcChain.xml><?xml version="1.0" encoding="utf-8"?>
<calcChain xmlns="http://schemas.openxmlformats.org/spreadsheetml/2006/main">
  <c r="C37" i="7" l="1"/>
  <c r="O3" i="4" l="1"/>
  <c r="T32" i="3"/>
  <c r="T31" i="3"/>
  <c r="T24" i="3"/>
  <c r="T25" i="3"/>
  <c r="T26" i="3"/>
  <c r="T27" i="3"/>
  <c r="T28" i="3"/>
  <c r="T29" i="3"/>
  <c r="T23" i="3"/>
  <c r="T21" i="3"/>
  <c r="T20" i="3"/>
  <c r="T13" i="3"/>
  <c r="T14" i="3"/>
  <c r="T15" i="3"/>
  <c r="T16" i="3"/>
  <c r="T17" i="3"/>
  <c r="T18" i="3"/>
  <c r="T12" i="3"/>
  <c r="T10" i="3"/>
  <c r="T4" i="3"/>
  <c r="T5" i="3"/>
  <c r="T6" i="3"/>
  <c r="T7" i="3"/>
  <c r="T3" i="3"/>
  <c r="I42" i="2" l="1"/>
  <c r="M25" i="7" l="1"/>
  <c r="L25" i="7"/>
  <c r="L24" i="7"/>
  <c r="K24" i="7"/>
  <c r="K25" i="7" s="1"/>
  <c r="K23" i="7"/>
  <c r="D27" i="7"/>
  <c r="D25" i="7"/>
  <c r="AD42" i="2" l="1"/>
  <c r="L10" i="3"/>
  <c r="L9" i="3"/>
  <c r="C32" i="7"/>
  <c r="AN32" i="3" l="1"/>
  <c r="AN31" i="3"/>
  <c r="AN21" i="3"/>
  <c r="AN20" i="3"/>
  <c r="AN10" i="3"/>
  <c r="AN9" i="3"/>
  <c r="AE31" i="3"/>
  <c r="AE20" i="3"/>
  <c r="AE9" i="3"/>
  <c r="Z31" i="3"/>
  <c r="Z20" i="3"/>
  <c r="AE32" i="3"/>
  <c r="G38" i="3"/>
  <c r="AE10" i="3"/>
  <c r="Z9" i="3"/>
  <c r="Z21" i="3"/>
  <c r="AE21" i="3"/>
  <c r="AH46" i="5"/>
  <c r="AH45" i="5"/>
  <c r="C19" i="7"/>
  <c r="B23" i="7" l="1"/>
  <c r="B25" i="7"/>
  <c r="B27" i="7"/>
  <c r="C27" i="7"/>
  <c r="C39" i="7" s="1"/>
  <c r="F27" i="7"/>
  <c r="G27" i="7"/>
  <c r="H27" i="7"/>
  <c r="C28" i="7"/>
  <c r="D28" i="7"/>
  <c r="F28" i="7"/>
  <c r="G28" i="7"/>
  <c r="H28" i="7"/>
  <c r="C23" i="7"/>
  <c r="F23" i="7"/>
  <c r="F37" i="7" s="1"/>
  <c r="C24" i="7"/>
  <c r="F24" i="7"/>
  <c r="C25" i="7"/>
  <c r="F25" i="7"/>
  <c r="C26" i="7"/>
  <c r="D26" i="7"/>
  <c r="F26" i="7"/>
  <c r="H22" i="7"/>
  <c r="C22" i="7"/>
  <c r="D22" i="7"/>
  <c r="E22" i="7"/>
  <c r="F22" i="7"/>
  <c r="G22" i="7"/>
  <c r="F39" i="7" l="1"/>
  <c r="F34" i="7"/>
  <c r="F32" i="7"/>
  <c r="C34" i="7"/>
  <c r="O4" i="4" l="1"/>
  <c r="O5" i="4"/>
  <c r="O6" i="4"/>
  <c r="A97" i="4"/>
  <c r="A98" i="4"/>
  <c r="A91" i="4"/>
  <c r="A92" i="4"/>
  <c r="A93" i="4"/>
  <c r="A94" i="4"/>
  <c r="A95" i="4"/>
  <c r="A96" i="4"/>
  <c r="AN1" i="2"/>
  <c r="AI1" i="2"/>
  <c r="AD1" i="2"/>
  <c r="Y1" i="2"/>
  <c r="T41" i="6"/>
  <c r="P41" i="6"/>
  <c r="T40" i="6"/>
  <c r="T43" i="6" s="1"/>
  <c r="P40" i="6"/>
  <c r="P43" i="6" s="1"/>
  <c r="T21" i="6"/>
  <c r="U19" i="6"/>
  <c r="U41" i="6" s="1"/>
  <c r="T19" i="6"/>
  <c r="T34" i="6" s="1"/>
  <c r="AA34" i="6" s="1"/>
  <c r="Q19" i="6"/>
  <c r="Q41" i="6" s="1"/>
  <c r="P19" i="6"/>
  <c r="P34" i="6" s="1"/>
  <c r="U18" i="6"/>
  <c r="U40" i="6" s="1"/>
  <c r="U43" i="6" s="1"/>
  <c r="T18" i="6"/>
  <c r="T33" i="6" s="1"/>
  <c r="AA33" i="6" s="1"/>
  <c r="Q18" i="6"/>
  <c r="Q40" i="6" s="1"/>
  <c r="Q43" i="6" s="1"/>
  <c r="P18" i="6"/>
  <c r="P33" i="6" s="1"/>
  <c r="W33" i="6" s="1"/>
  <c r="J14" i="6"/>
  <c r="I14" i="6"/>
  <c r="H14" i="6"/>
  <c r="G14" i="6"/>
  <c r="J13" i="6"/>
  <c r="I13" i="6"/>
  <c r="H13" i="6"/>
  <c r="G13" i="6"/>
  <c r="M8" i="6"/>
  <c r="P8" i="6" s="1"/>
  <c r="S8" i="6" s="1"/>
  <c r="L8" i="6"/>
  <c r="O8" i="6" s="1"/>
  <c r="R8" i="6" s="1"/>
  <c r="M4" i="6"/>
  <c r="P4" i="6" s="1"/>
  <c r="S4" i="6" s="1"/>
  <c r="L4" i="6"/>
  <c r="O4" i="6" s="1"/>
  <c r="R4" i="6" s="1"/>
  <c r="R36" i="6" l="1"/>
  <c r="W34" i="6"/>
  <c r="Q33" i="6"/>
  <c r="X33" i="6" s="1"/>
  <c r="U33" i="6"/>
  <c r="AB33" i="6" s="1"/>
  <c r="Q34" i="6"/>
  <c r="X34" i="6" s="1"/>
  <c r="U34" i="6"/>
  <c r="AB34" i="6" s="1"/>
  <c r="P21" i="6"/>
  <c r="AQ45" i="5"/>
  <c r="AQ56" i="5"/>
  <c r="AQ34" i="5"/>
  <c r="AN3" i="3"/>
  <c r="AH34" i="5"/>
  <c r="D28" i="5"/>
  <c r="I1" i="2" l="1"/>
  <c r="D37" i="5"/>
  <c r="E37" i="5"/>
  <c r="F37" i="5"/>
  <c r="G37" i="5"/>
  <c r="D38" i="5"/>
  <c r="E38" i="5"/>
  <c r="F38" i="5"/>
  <c r="G38" i="5"/>
  <c r="D39" i="5"/>
  <c r="E39" i="5"/>
  <c r="F39" i="5"/>
  <c r="G39" i="5"/>
  <c r="D40" i="5"/>
  <c r="E40" i="5"/>
  <c r="F40" i="5"/>
  <c r="G40" i="5"/>
  <c r="D41" i="5"/>
  <c r="E41" i="5"/>
  <c r="F41" i="5"/>
  <c r="G41" i="5"/>
  <c r="D42" i="5"/>
  <c r="E42" i="5"/>
  <c r="F42" i="5"/>
  <c r="G42" i="5"/>
  <c r="D43" i="5"/>
  <c r="E43" i="5"/>
  <c r="F43" i="5"/>
  <c r="G43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Q37" i="5"/>
  <c r="R37" i="5"/>
  <c r="Q38" i="5"/>
  <c r="R38" i="5"/>
  <c r="Q39" i="5"/>
  <c r="R39" i="5"/>
  <c r="Q40" i="5"/>
  <c r="R40" i="5"/>
  <c r="Q41" i="5"/>
  <c r="R41" i="5"/>
  <c r="Q42" i="5"/>
  <c r="R42" i="5"/>
  <c r="Q43" i="5"/>
  <c r="R43" i="5"/>
  <c r="S37" i="5"/>
  <c r="T37" i="5"/>
  <c r="U37" i="5"/>
  <c r="S38" i="5"/>
  <c r="T38" i="5"/>
  <c r="U38" i="5"/>
  <c r="S39" i="5"/>
  <c r="T39" i="5"/>
  <c r="U39" i="5"/>
  <c r="S40" i="5"/>
  <c r="T40" i="5"/>
  <c r="U40" i="5"/>
  <c r="S41" i="5"/>
  <c r="T41" i="5"/>
  <c r="U41" i="5"/>
  <c r="S42" i="5"/>
  <c r="T42" i="5"/>
  <c r="U42" i="5"/>
  <c r="S43" i="5"/>
  <c r="T43" i="5"/>
  <c r="U43" i="5"/>
  <c r="Y37" i="5"/>
  <c r="AC37" i="5" s="1"/>
  <c r="Z37" i="5"/>
  <c r="AA37" i="5"/>
  <c r="Y38" i="5"/>
  <c r="Z38" i="5"/>
  <c r="AA38" i="5"/>
  <c r="Y39" i="5"/>
  <c r="AC39" i="5" s="1"/>
  <c r="Z39" i="5"/>
  <c r="AA39" i="5"/>
  <c r="Y40" i="5"/>
  <c r="Z40" i="5"/>
  <c r="AC40" i="5" s="1"/>
  <c r="AA40" i="5"/>
  <c r="Y41" i="5"/>
  <c r="Z41" i="5"/>
  <c r="AA41" i="5"/>
  <c r="Y42" i="5"/>
  <c r="Z42" i="5"/>
  <c r="AA42" i="5"/>
  <c r="Y43" i="5"/>
  <c r="AC43" i="5" s="1"/>
  <c r="Z43" i="5"/>
  <c r="AA43" i="5"/>
  <c r="AE37" i="5"/>
  <c r="AF37" i="5"/>
  <c r="AE38" i="5"/>
  <c r="AF38" i="5"/>
  <c r="AE39" i="5"/>
  <c r="AF39" i="5"/>
  <c r="AE40" i="5"/>
  <c r="AF40" i="5"/>
  <c r="AE41" i="5"/>
  <c r="AF41" i="5"/>
  <c r="AE42" i="5"/>
  <c r="AF42" i="5"/>
  <c r="AE43" i="5"/>
  <c r="AF43" i="5"/>
  <c r="AC41" i="5"/>
  <c r="W37" i="5"/>
  <c r="W48" i="5"/>
  <c r="AC54" i="5"/>
  <c r="AC53" i="5"/>
  <c r="AC52" i="5"/>
  <c r="AC51" i="5"/>
  <c r="AC50" i="5"/>
  <c r="AC49" i="5"/>
  <c r="AC48" i="5"/>
  <c r="AC38" i="5"/>
  <c r="AC42" i="5"/>
  <c r="J66" i="5"/>
  <c r="I66" i="5"/>
  <c r="G66" i="5"/>
  <c r="F66" i="5"/>
  <c r="E66" i="5"/>
  <c r="J65" i="5"/>
  <c r="I65" i="5"/>
  <c r="F65" i="5"/>
  <c r="E65" i="5"/>
  <c r="F64" i="5"/>
  <c r="F63" i="5"/>
  <c r="F62" i="5"/>
  <c r="F61" i="5"/>
  <c r="N54" i="5"/>
  <c r="N53" i="5"/>
  <c r="N52" i="5"/>
  <c r="N51" i="5"/>
  <c r="N50" i="5"/>
  <c r="N57" i="5" s="1"/>
  <c r="N49" i="5"/>
  <c r="N48" i="5"/>
  <c r="N56" i="5" s="1"/>
  <c r="N43" i="5"/>
  <c r="N42" i="5"/>
  <c r="N41" i="5"/>
  <c r="N40" i="5"/>
  <c r="N39" i="5"/>
  <c r="N46" i="5" s="1"/>
  <c r="N38" i="5"/>
  <c r="N37" i="5"/>
  <c r="N45" i="5" s="1"/>
  <c r="N32" i="5"/>
  <c r="N31" i="5"/>
  <c r="N30" i="5"/>
  <c r="N29" i="5"/>
  <c r="N28" i="5"/>
  <c r="N35" i="5" s="1"/>
  <c r="E48" i="5"/>
  <c r="F48" i="5"/>
  <c r="G48" i="5"/>
  <c r="Q48" i="5"/>
  <c r="R48" i="5"/>
  <c r="S48" i="5"/>
  <c r="T48" i="5"/>
  <c r="U48" i="5"/>
  <c r="Y48" i="5"/>
  <c r="Z48" i="5"/>
  <c r="AA48" i="5"/>
  <c r="AS48" i="5"/>
  <c r="AT48" i="5"/>
  <c r="AU48" i="5"/>
  <c r="AV48" i="5"/>
  <c r="AW48" i="5"/>
  <c r="AX48" i="5"/>
  <c r="AY48" i="5"/>
  <c r="K48" i="5"/>
  <c r="L48" i="5"/>
  <c r="AE48" i="5"/>
  <c r="AF48" i="5"/>
  <c r="AJ48" i="5"/>
  <c r="AK48" i="5"/>
  <c r="AL48" i="5"/>
  <c r="AM48" i="5"/>
  <c r="AN48" i="5"/>
  <c r="AO48" i="5"/>
  <c r="E49" i="5"/>
  <c r="F49" i="5"/>
  <c r="G49" i="5"/>
  <c r="Q49" i="5"/>
  <c r="R49" i="5"/>
  <c r="S49" i="5"/>
  <c r="T49" i="5"/>
  <c r="U49" i="5"/>
  <c r="Y49" i="5"/>
  <c r="Z49" i="5"/>
  <c r="AA49" i="5"/>
  <c r="AS49" i="5"/>
  <c r="AT49" i="5"/>
  <c r="AU49" i="5"/>
  <c r="AV49" i="5"/>
  <c r="AW49" i="5"/>
  <c r="AX49" i="5"/>
  <c r="AY49" i="5"/>
  <c r="K49" i="5"/>
  <c r="L49" i="5"/>
  <c r="AE49" i="5"/>
  <c r="AF49" i="5"/>
  <c r="AJ49" i="5"/>
  <c r="AK49" i="5"/>
  <c r="AL49" i="5"/>
  <c r="AM49" i="5"/>
  <c r="AN49" i="5"/>
  <c r="AO49" i="5"/>
  <c r="E50" i="5"/>
  <c r="F50" i="5"/>
  <c r="G50" i="5"/>
  <c r="Q50" i="5"/>
  <c r="R50" i="5"/>
  <c r="S50" i="5"/>
  <c r="T50" i="5"/>
  <c r="U50" i="5"/>
  <c r="Y50" i="5"/>
  <c r="Z50" i="5"/>
  <c r="AA50" i="5"/>
  <c r="AS50" i="5"/>
  <c r="AT50" i="5"/>
  <c r="AU50" i="5"/>
  <c r="AV50" i="5"/>
  <c r="AW50" i="5"/>
  <c r="AX50" i="5"/>
  <c r="AY50" i="5"/>
  <c r="K50" i="5"/>
  <c r="L50" i="5"/>
  <c r="AE50" i="5"/>
  <c r="AF50" i="5"/>
  <c r="AJ50" i="5"/>
  <c r="AK50" i="5"/>
  <c r="AL50" i="5"/>
  <c r="AM50" i="5"/>
  <c r="AN50" i="5"/>
  <c r="AO50" i="5"/>
  <c r="E51" i="5"/>
  <c r="F51" i="5"/>
  <c r="G51" i="5"/>
  <c r="Q51" i="5"/>
  <c r="R51" i="5"/>
  <c r="S51" i="5"/>
  <c r="T51" i="5"/>
  <c r="U51" i="5"/>
  <c r="Y51" i="5"/>
  <c r="Z51" i="5"/>
  <c r="AA51" i="5"/>
  <c r="AS51" i="5"/>
  <c r="AT51" i="5"/>
  <c r="AU51" i="5"/>
  <c r="AV51" i="5"/>
  <c r="AW51" i="5"/>
  <c r="AX51" i="5"/>
  <c r="AY51" i="5"/>
  <c r="K51" i="5"/>
  <c r="L51" i="5"/>
  <c r="AE51" i="5"/>
  <c r="AF51" i="5"/>
  <c r="AJ51" i="5"/>
  <c r="AK51" i="5"/>
  <c r="AL51" i="5"/>
  <c r="AM51" i="5"/>
  <c r="AN51" i="5"/>
  <c r="AO51" i="5"/>
  <c r="E52" i="5"/>
  <c r="F52" i="5"/>
  <c r="G52" i="5"/>
  <c r="Q52" i="5"/>
  <c r="R52" i="5"/>
  <c r="S52" i="5"/>
  <c r="T52" i="5"/>
  <c r="U52" i="5"/>
  <c r="Y52" i="5"/>
  <c r="Z52" i="5"/>
  <c r="AA52" i="5"/>
  <c r="AS52" i="5"/>
  <c r="AT52" i="5"/>
  <c r="AU52" i="5"/>
  <c r="AV52" i="5"/>
  <c r="AW52" i="5"/>
  <c r="AX52" i="5"/>
  <c r="AY52" i="5"/>
  <c r="K52" i="5"/>
  <c r="L52" i="5"/>
  <c r="AE52" i="5"/>
  <c r="AF52" i="5"/>
  <c r="AJ52" i="5"/>
  <c r="AK52" i="5"/>
  <c r="AL52" i="5"/>
  <c r="AM52" i="5"/>
  <c r="AN52" i="5"/>
  <c r="AO52" i="5"/>
  <c r="E53" i="5"/>
  <c r="F53" i="5"/>
  <c r="G53" i="5"/>
  <c r="Q53" i="5"/>
  <c r="R53" i="5"/>
  <c r="S53" i="5"/>
  <c r="T53" i="5"/>
  <c r="U53" i="5"/>
  <c r="Y53" i="5"/>
  <c r="Z53" i="5"/>
  <c r="AA53" i="5"/>
  <c r="AS53" i="5"/>
  <c r="AT53" i="5"/>
  <c r="AU53" i="5"/>
  <c r="AV53" i="5"/>
  <c r="AW53" i="5"/>
  <c r="AX53" i="5"/>
  <c r="AY53" i="5"/>
  <c r="K53" i="5"/>
  <c r="L53" i="5"/>
  <c r="AE53" i="5"/>
  <c r="AF53" i="5"/>
  <c r="AJ53" i="5"/>
  <c r="AK53" i="5"/>
  <c r="AL53" i="5"/>
  <c r="AM53" i="5"/>
  <c r="AN53" i="5"/>
  <c r="AO53" i="5"/>
  <c r="E54" i="5"/>
  <c r="F54" i="5"/>
  <c r="G54" i="5"/>
  <c r="Q54" i="5"/>
  <c r="R54" i="5"/>
  <c r="S54" i="5"/>
  <c r="T54" i="5"/>
  <c r="U54" i="5"/>
  <c r="Y54" i="5"/>
  <c r="Z54" i="5"/>
  <c r="AA54" i="5"/>
  <c r="AS54" i="5"/>
  <c r="AT54" i="5"/>
  <c r="AU54" i="5"/>
  <c r="AV54" i="5"/>
  <c r="AW54" i="5"/>
  <c r="AX54" i="5"/>
  <c r="AY54" i="5"/>
  <c r="K54" i="5"/>
  <c r="L54" i="5"/>
  <c r="AE54" i="5"/>
  <c r="AF54" i="5"/>
  <c r="AJ54" i="5"/>
  <c r="AK54" i="5"/>
  <c r="AL54" i="5"/>
  <c r="AM54" i="5"/>
  <c r="AN54" i="5"/>
  <c r="AO54" i="5"/>
  <c r="D49" i="5"/>
  <c r="D50" i="5"/>
  <c r="D51" i="5"/>
  <c r="D52" i="5"/>
  <c r="D53" i="5"/>
  <c r="D54" i="5"/>
  <c r="D48" i="5"/>
  <c r="E28" i="5"/>
  <c r="F28" i="5"/>
  <c r="G28" i="5"/>
  <c r="Q28" i="5"/>
  <c r="R28" i="5"/>
  <c r="W28" i="5" s="1"/>
  <c r="S28" i="5"/>
  <c r="T28" i="5"/>
  <c r="U28" i="5"/>
  <c r="Y28" i="5"/>
  <c r="AC28" i="5" s="1"/>
  <c r="Z28" i="5"/>
  <c r="AA28" i="5"/>
  <c r="AS28" i="5"/>
  <c r="AT28" i="5"/>
  <c r="AU28" i="5"/>
  <c r="AV28" i="5"/>
  <c r="AW28" i="5"/>
  <c r="AX28" i="5"/>
  <c r="AY28" i="5"/>
  <c r="K28" i="5"/>
  <c r="L28" i="5"/>
  <c r="AE28" i="5"/>
  <c r="AF28" i="5"/>
  <c r="AJ28" i="5"/>
  <c r="AK28" i="5"/>
  <c r="AL28" i="5"/>
  <c r="AM28" i="5"/>
  <c r="AN28" i="5"/>
  <c r="AO28" i="5"/>
  <c r="E29" i="5"/>
  <c r="F29" i="5"/>
  <c r="G29" i="5"/>
  <c r="Q29" i="5"/>
  <c r="R29" i="5"/>
  <c r="S29" i="5"/>
  <c r="T29" i="5"/>
  <c r="U29" i="5"/>
  <c r="Y29" i="5"/>
  <c r="AC29" i="5" s="1"/>
  <c r="Z29" i="5"/>
  <c r="AA29" i="5"/>
  <c r="AS29" i="5"/>
  <c r="AT29" i="5"/>
  <c r="AU29" i="5"/>
  <c r="AV29" i="5"/>
  <c r="AW29" i="5"/>
  <c r="AX29" i="5"/>
  <c r="AY29" i="5"/>
  <c r="K29" i="5"/>
  <c r="L29" i="5"/>
  <c r="AE29" i="5"/>
  <c r="AF29" i="5"/>
  <c r="AJ29" i="5"/>
  <c r="AK29" i="5"/>
  <c r="AL29" i="5"/>
  <c r="AM29" i="5"/>
  <c r="AN29" i="5"/>
  <c r="AO29" i="5"/>
  <c r="E30" i="5"/>
  <c r="F30" i="5"/>
  <c r="G30" i="5"/>
  <c r="Q30" i="5"/>
  <c r="R30" i="5"/>
  <c r="S30" i="5"/>
  <c r="T30" i="5"/>
  <c r="U30" i="5"/>
  <c r="Y30" i="5"/>
  <c r="AC30" i="5" s="1"/>
  <c r="Z30" i="5"/>
  <c r="AA30" i="5"/>
  <c r="AS30" i="5"/>
  <c r="AT30" i="5"/>
  <c r="AU30" i="5"/>
  <c r="AV30" i="5"/>
  <c r="AW30" i="5"/>
  <c r="AX30" i="5"/>
  <c r="AY30" i="5"/>
  <c r="K30" i="5"/>
  <c r="L30" i="5"/>
  <c r="AE30" i="5"/>
  <c r="AF30" i="5"/>
  <c r="AJ30" i="5"/>
  <c r="AK30" i="5"/>
  <c r="AL30" i="5"/>
  <c r="AM30" i="5"/>
  <c r="AN30" i="5"/>
  <c r="AO30" i="5"/>
  <c r="E31" i="5"/>
  <c r="F31" i="5"/>
  <c r="G31" i="5"/>
  <c r="Q31" i="5"/>
  <c r="R31" i="5"/>
  <c r="S31" i="5"/>
  <c r="T31" i="5"/>
  <c r="U31" i="5"/>
  <c r="Y31" i="5"/>
  <c r="AC31" i="5" s="1"/>
  <c r="Z31" i="5"/>
  <c r="AA31" i="5"/>
  <c r="AS31" i="5"/>
  <c r="AT31" i="5"/>
  <c r="AU31" i="5"/>
  <c r="AV31" i="5"/>
  <c r="AW31" i="5"/>
  <c r="AX31" i="5"/>
  <c r="AY31" i="5"/>
  <c r="K31" i="5"/>
  <c r="L31" i="5"/>
  <c r="AE31" i="5"/>
  <c r="AF31" i="5"/>
  <c r="AJ31" i="5"/>
  <c r="AK31" i="5"/>
  <c r="AL31" i="5"/>
  <c r="AM31" i="5"/>
  <c r="AN31" i="5"/>
  <c r="AO31" i="5"/>
  <c r="E32" i="5"/>
  <c r="F32" i="5"/>
  <c r="G32" i="5"/>
  <c r="Q32" i="5"/>
  <c r="R32" i="5"/>
  <c r="S32" i="5"/>
  <c r="T32" i="5"/>
  <c r="U32" i="5"/>
  <c r="Y32" i="5"/>
  <c r="AC32" i="5" s="1"/>
  <c r="Z32" i="5"/>
  <c r="AA32" i="5"/>
  <c r="AS32" i="5"/>
  <c r="AT32" i="5"/>
  <c r="AU32" i="5"/>
  <c r="AV32" i="5"/>
  <c r="AW32" i="5"/>
  <c r="AX32" i="5"/>
  <c r="AY32" i="5"/>
  <c r="K32" i="5"/>
  <c r="L32" i="5"/>
  <c r="AE32" i="5"/>
  <c r="AF32" i="5"/>
  <c r="AJ32" i="5"/>
  <c r="AK32" i="5"/>
  <c r="AL32" i="5"/>
  <c r="AM32" i="5"/>
  <c r="AN32" i="5"/>
  <c r="AO32" i="5"/>
  <c r="D29" i="5"/>
  <c r="D30" i="5"/>
  <c r="D31" i="5"/>
  <c r="D32" i="5"/>
  <c r="N34" i="5" l="1"/>
  <c r="G34" i="5"/>
  <c r="AO56" i="5"/>
  <c r="AK56" i="5"/>
  <c r="AH30" i="5"/>
  <c r="AN34" i="5"/>
  <c r="AA34" i="5"/>
  <c r="T34" i="5"/>
  <c r="E34" i="5"/>
  <c r="AL34" i="5"/>
  <c r="Y34" i="5"/>
  <c r="R34" i="5"/>
  <c r="W51" i="5"/>
  <c r="AM56" i="5"/>
  <c r="AF56" i="5"/>
  <c r="AQ32" i="5"/>
  <c r="AH32" i="5"/>
  <c r="W29" i="5"/>
  <c r="AH54" i="5"/>
  <c r="AH53" i="5"/>
  <c r="AH52" i="5"/>
  <c r="AH51" i="5"/>
  <c r="AH50" i="5"/>
  <c r="AH49" i="5"/>
  <c r="W31" i="5"/>
  <c r="AQ30" i="5"/>
  <c r="W53" i="5"/>
  <c r="W49" i="5"/>
  <c r="I28" i="5"/>
  <c r="AQ31" i="5"/>
  <c r="AH31" i="5"/>
  <c r="AQ29" i="5"/>
  <c r="AH29" i="5"/>
  <c r="AJ34" i="5"/>
  <c r="AE34" i="5"/>
  <c r="W54" i="5"/>
  <c r="W52" i="5"/>
  <c r="W50" i="5"/>
  <c r="Z56" i="5"/>
  <c r="U56" i="5"/>
  <c r="S56" i="5"/>
  <c r="Q56" i="5"/>
  <c r="AQ28" i="5"/>
  <c r="W32" i="5"/>
  <c r="W30" i="5"/>
  <c r="AO34" i="5"/>
  <c r="AM34" i="5"/>
  <c r="AK34" i="5"/>
  <c r="AF34" i="5"/>
  <c r="Z34" i="5"/>
  <c r="U34" i="5"/>
  <c r="S34" i="5"/>
  <c r="Q34" i="5"/>
  <c r="F34" i="5"/>
  <c r="AQ54" i="5"/>
  <c r="AQ53" i="5"/>
  <c r="AQ52" i="5"/>
  <c r="AQ51" i="5"/>
  <c r="AQ50" i="5"/>
  <c r="AQ49" i="5"/>
  <c r="AN56" i="5"/>
  <c r="AL56" i="5"/>
  <c r="AJ56" i="5"/>
  <c r="AQ48" i="5"/>
  <c r="AE56" i="5"/>
  <c r="AH48" i="5"/>
  <c r="AA56" i="5"/>
  <c r="Y56" i="5"/>
  <c r="T56" i="5"/>
  <c r="R56" i="5"/>
  <c r="I54" i="5"/>
  <c r="I52" i="5"/>
  <c r="I50" i="5"/>
  <c r="AH28" i="5"/>
  <c r="AM37" i="5"/>
  <c r="AY37" i="5"/>
  <c r="AJ43" i="5"/>
  <c r="AS43" i="5"/>
  <c r="AM42" i="5"/>
  <c r="AK41" i="5"/>
  <c r="AY38" i="5"/>
  <c r="I53" i="5"/>
  <c r="I51" i="5"/>
  <c r="I49" i="5"/>
  <c r="F56" i="5"/>
  <c r="AU37" i="5"/>
  <c r="AN43" i="5"/>
  <c r="AY42" i="5"/>
  <c r="AW41" i="5"/>
  <c r="AU40" i="5"/>
  <c r="AO39" i="5"/>
  <c r="AS39" i="5"/>
  <c r="AM38" i="5"/>
  <c r="G56" i="5"/>
  <c r="E56" i="5"/>
  <c r="I48" i="5"/>
  <c r="D56" i="5"/>
  <c r="AO37" i="5"/>
  <c r="AK37" i="5"/>
  <c r="AW37" i="5"/>
  <c r="AS37" i="5"/>
  <c r="AL43" i="5"/>
  <c r="AW43" i="5"/>
  <c r="AU42" i="5"/>
  <c r="AO41" i="5"/>
  <c r="AS41" i="5"/>
  <c r="AM40" i="5"/>
  <c r="AY40" i="5"/>
  <c r="AK39" i="5"/>
  <c r="AW39" i="5"/>
  <c r="AU38" i="5"/>
  <c r="D34" i="5"/>
  <c r="I32" i="5"/>
  <c r="I30" i="5"/>
  <c r="I31" i="5"/>
  <c r="I29" i="5"/>
  <c r="AT38" i="5"/>
  <c r="AV38" i="5"/>
  <c r="AX38" i="5"/>
  <c r="AJ38" i="5"/>
  <c r="AL38" i="5"/>
  <c r="AN38" i="5"/>
  <c r="AT39" i="5"/>
  <c r="AV39" i="5"/>
  <c r="AX39" i="5"/>
  <c r="AJ39" i="5"/>
  <c r="AL39" i="5"/>
  <c r="AN39" i="5"/>
  <c r="AT40" i="5"/>
  <c r="AV40" i="5"/>
  <c r="AX40" i="5"/>
  <c r="AJ40" i="5"/>
  <c r="AL40" i="5"/>
  <c r="AN40" i="5"/>
  <c r="AT41" i="5"/>
  <c r="AV41" i="5"/>
  <c r="AX41" i="5"/>
  <c r="AJ41" i="5"/>
  <c r="AL41" i="5"/>
  <c r="AN41" i="5"/>
  <c r="AT42" i="5"/>
  <c r="AV42" i="5"/>
  <c r="AX42" i="5"/>
  <c r="AJ42" i="5"/>
  <c r="AL42" i="5"/>
  <c r="AN42" i="5"/>
  <c r="AT43" i="5"/>
  <c r="AV43" i="5"/>
  <c r="AX43" i="5"/>
  <c r="AN37" i="5"/>
  <c r="AL37" i="5"/>
  <c r="AL45" i="5" s="1"/>
  <c r="AJ37" i="5"/>
  <c r="AX37" i="5"/>
  <c r="AV37" i="5"/>
  <c r="AT37" i="5"/>
  <c r="U45" i="5"/>
  <c r="AO43" i="5"/>
  <c r="AM43" i="5"/>
  <c r="AK43" i="5"/>
  <c r="AY43" i="5"/>
  <c r="AU43" i="5"/>
  <c r="AO42" i="5"/>
  <c r="AK42" i="5"/>
  <c r="AW42" i="5"/>
  <c r="AS42" i="5"/>
  <c r="AM41" i="5"/>
  <c r="AY41" i="5"/>
  <c r="AU41" i="5"/>
  <c r="AO40" i="5"/>
  <c r="AK40" i="5"/>
  <c r="AW40" i="5"/>
  <c r="AS40" i="5"/>
  <c r="AM39" i="5"/>
  <c r="AY39" i="5"/>
  <c r="AU39" i="5"/>
  <c r="AO38" i="5"/>
  <c r="AK38" i="5"/>
  <c r="AW38" i="5"/>
  <c r="AS38" i="5"/>
  <c r="A69" i="2"/>
  <c r="AN29" i="4"/>
  <c r="AN28" i="4"/>
  <c r="AN27" i="4"/>
  <c r="AN22" i="4"/>
  <c r="AN21" i="4"/>
  <c r="AN20" i="4"/>
  <c r="AN19" i="4"/>
  <c r="AN14" i="4"/>
  <c r="AN13" i="4"/>
  <c r="AN12" i="4"/>
  <c r="AN11" i="4"/>
  <c r="AN17" i="4" s="1"/>
  <c r="AN4" i="4"/>
  <c r="AN5" i="4"/>
  <c r="AN6" i="4"/>
  <c r="AN3" i="4"/>
  <c r="H41" i="3"/>
  <c r="H40" i="3"/>
  <c r="H39" i="3"/>
  <c r="H26" i="7" s="1"/>
  <c r="H38" i="3"/>
  <c r="H25" i="7" s="1"/>
  <c r="H36" i="3"/>
  <c r="H23" i="7" s="1"/>
  <c r="AN24" i="3"/>
  <c r="AN25" i="3"/>
  <c r="AN26" i="3"/>
  <c r="AN27" i="3"/>
  <c r="AN28" i="3"/>
  <c r="AN29" i="3"/>
  <c r="AN13" i="3"/>
  <c r="AN14" i="3"/>
  <c r="AN15" i="3"/>
  <c r="AN16" i="3"/>
  <c r="AN17" i="3"/>
  <c r="AN18" i="3"/>
  <c r="AN23" i="3"/>
  <c r="AN12" i="3"/>
  <c r="AN4" i="3"/>
  <c r="AN5" i="3"/>
  <c r="AN6" i="3"/>
  <c r="AN7" i="3"/>
  <c r="C71" i="2"/>
  <c r="D71" i="2"/>
  <c r="E71" i="2"/>
  <c r="F71" i="2"/>
  <c r="G71" i="2"/>
  <c r="I71" i="2"/>
  <c r="J71" i="2"/>
  <c r="K71" i="2"/>
  <c r="L71" i="2"/>
  <c r="M71" i="2"/>
  <c r="N71" i="2"/>
  <c r="O71" i="2"/>
  <c r="Q71" i="2"/>
  <c r="R71" i="2"/>
  <c r="S71" i="2"/>
  <c r="T71" i="2"/>
  <c r="U71" i="2"/>
  <c r="V71" i="2"/>
  <c r="W71" i="2"/>
  <c r="Y71" i="2"/>
  <c r="Z71" i="2"/>
  <c r="AA71" i="2"/>
  <c r="AB71" i="2"/>
  <c r="AD71" i="2"/>
  <c r="AE71" i="2"/>
  <c r="AF71" i="2"/>
  <c r="AG71" i="2"/>
  <c r="AI71" i="2"/>
  <c r="AJ71" i="2"/>
  <c r="AK71" i="2"/>
  <c r="AL71" i="2"/>
  <c r="AN71" i="2"/>
  <c r="AO71" i="2"/>
  <c r="AP71" i="2"/>
  <c r="A72" i="2"/>
  <c r="C72" i="2"/>
  <c r="D72" i="2"/>
  <c r="E72" i="2"/>
  <c r="F72" i="2"/>
  <c r="G72" i="2"/>
  <c r="I72" i="2"/>
  <c r="J72" i="2"/>
  <c r="K72" i="2"/>
  <c r="L72" i="2"/>
  <c r="M72" i="2"/>
  <c r="N72" i="2"/>
  <c r="O72" i="2"/>
  <c r="Q72" i="2"/>
  <c r="R72" i="2"/>
  <c r="S72" i="2"/>
  <c r="T72" i="2"/>
  <c r="U72" i="2"/>
  <c r="V72" i="2"/>
  <c r="W72" i="2"/>
  <c r="Y72" i="2"/>
  <c r="Z72" i="2"/>
  <c r="AA72" i="2"/>
  <c r="AB72" i="2"/>
  <c r="AD72" i="2"/>
  <c r="AE72" i="2"/>
  <c r="AF72" i="2"/>
  <c r="AG72" i="2"/>
  <c r="AI72" i="2"/>
  <c r="AJ72" i="2"/>
  <c r="AK72" i="2"/>
  <c r="AL72" i="2"/>
  <c r="AN72" i="2"/>
  <c r="AO72" i="2"/>
  <c r="AP72" i="2"/>
  <c r="A73" i="2"/>
  <c r="C73" i="2"/>
  <c r="D73" i="2"/>
  <c r="E73" i="2"/>
  <c r="F73" i="2"/>
  <c r="G73" i="2"/>
  <c r="I73" i="2"/>
  <c r="J73" i="2"/>
  <c r="K73" i="2"/>
  <c r="L73" i="2"/>
  <c r="M73" i="2"/>
  <c r="N73" i="2"/>
  <c r="O73" i="2"/>
  <c r="Q73" i="2"/>
  <c r="R73" i="2"/>
  <c r="S73" i="2"/>
  <c r="T73" i="2"/>
  <c r="U73" i="2"/>
  <c r="V73" i="2"/>
  <c r="W73" i="2"/>
  <c r="Y73" i="2"/>
  <c r="Z73" i="2"/>
  <c r="AA73" i="2"/>
  <c r="AB73" i="2"/>
  <c r="AD73" i="2"/>
  <c r="AE73" i="2"/>
  <c r="AF73" i="2"/>
  <c r="AG73" i="2"/>
  <c r="AI73" i="2"/>
  <c r="AJ73" i="2"/>
  <c r="AK73" i="2"/>
  <c r="AL73" i="2"/>
  <c r="AN73" i="2"/>
  <c r="AO73" i="2"/>
  <c r="AP73" i="2"/>
  <c r="A74" i="2"/>
  <c r="C74" i="2"/>
  <c r="D74" i="2"/>
  <c r="E74" i="2"/>
  <c r="F74" i="2"/>
  <c r="G74" i="2"/>
  <c r="I74" i="2"/>
  <c r="J74" i="2"/>
  <c r="K74" i="2"/>
  <c r="L74" i="2"/>
  <c r="M74" i="2"/>
  <c r="N74" i="2"/>
  <c r="O74" i="2"/>
  <c r="Q74" i="2"/>
  <c r="R74" i="2"/>
  <c r="S74" i="2"/>
  <c r="T74" i="2"/>
  <c r="U74" i="2"/>
  <c r="V74" i="2"/>
  <c r="W74" i="2"/>
  <c r="Y74" i="2"/>
  <c r="Z74" i="2"/>
  <c r="AA74" i="2"/>
  <c r="AB74" i="2"/>
  <c r="AD74" i="2"/>
  <c r="AE74" i="2"/>
  <c r="AF74" i="2"/>
  <c r="AG74" i="2"/>
  <c r="AI74" i="2"/>
  <c r="AJ74" i="2"/>
  <c r="AK74" i="2"/>
  <c r="AL74" i="2"/>
  <c r="AN74" i="2"/>
  <c r="AO74" i="2"/>
  <c r="AP74" i="2"/>
  <c r="A75" i="2"/>
  <c r="C75" i="2"/>
  <c r="D75" i="2"/>
  <c r="E75" i="2"/>
  <c r="F75" i="2"/>
  <c r="G75" i="2"/>
  <c r="I75" i="2"/>
  <c r="J75" i="2"/>
  <c r="K75" i="2"/>
  <c r="L75" i="2"/>
  <c r="M75" i="2"/>
  <c r="N75" i="2"/>
  <c r="O75" i="2"/>
  <c r="Q75" i="2"/>
  <c r="R75" i="2"/>
  <c r="S75" i="2"/>
  <c r="T75" i="2"/>
  <c r="U75" i="2"/>
  <c r="V75" i="2"/>
  <c r="W75" i="2"/>
  <c r="Y75" i="2"/>
  <c r="Z75" i="2"/>
  <c r="AA75" i="2"/>
  <c r="AB75" i="2"/>
  <c r="AD75" i="2"/>
  <c r="AE75" i="2"/>
  <c r="AF75" i="2"/>
  <c r="AG75" i="2"/>
  <c r="AI75" i="2"/>
  <c r="AJ75" i="2"/>
  <c r="AK75" i="2"/>
  <c r="AL75" i="2"/>
  <c r="AN75" i="2"/>
  <c r="AO75" i="2"/>
  <c r="AP75" i="2"/>
  <c r="A76" i="2"/>
  <c r="C76" i="2"/>
  <c r="D76" i="2"/>
  <c r="E76" i="2"/>
  <c r="F76" i="2"/>
  <c r="G76" i="2"/>
  <c r="I76" i="2"/>
  <c r="J76" i="2"/>
  <c r="K76" i="2"/>
  <c r="L76" i="2"/>
  <c r="M76" i="2"/>
  <c r="N76" i="2"/>
  <c r="O76" i="2"/>
  <c r="Q76" i="2"/>
  <c r="R76" i="2"/>
  <c r="S76" i="2"/>
  <c r="T76" i="2"/>
  <c r="U76" i="2"/>
  <c r="V76" i="2"/>
  <c r="W76" i="2"/>
  <c r="Y76" i="2"/>
  <c r="Z76" i="2"/>
  <c r="AA76" i="2"/>
  <c r="AB76" i="2"/>
  <c r="AD76" i="2"/>
  <c r="AE76" i="2"/>
  <c r="AF76" i="2"/>
  <c r="AG76" i="2"/>
  <c r="AI76" i="2"/>
  <c r="AJ76" i="2"/>
  <c r="AK76" i="2"/>
  <c r="AL76" i="2"/>
  <c r="AN76" i="2"/>
  <c r="AO76" i="2"/>
  <c r="AP76" i="2"/>
  <c r="A77" i="2"/>
  <c r="C77" i="2"/>
  <c r="D77" i="2"/>
  <c r="E77" i="2"/>
  <c r="F77" i="2"/>
  <c r="G77" i="2"/>
  <c r="I77" i="2"/>
  <c r="J77" i="2"/>
  <c r="K77" i="2"/>
  <c r="L77" i="2"/>
  <c r="M77" i="2"/>
  <c r="N77" i="2"/>
  <c r="O77" i="2"/>
  <c r="Q77" i="2"/>
  <c r="R77" i="2"/>
  <c r="S77" i="2"/>
  <c r="T77" i="2"/>
  <c r="U77" i="2"/>
  <c r="V77" i="2"/>
  <c r="W77" i="2"/>
  <c r="Y77" i="2"/>
  <c r="Z77" i="2"/>
  <c r="AA77" i="2"/>
  <c r="AB77" i="2"/>
  <c r="AD77" i="2"/>
  <c r="AE77" i="2"/>
  <c r="AF77" i="2"/>
  <c r="AG77" i="2"/>
  <c r="AI77" i="2"/>
  <c r="AJ77" i="2"/>
  <c r="AK77" i="2"/>
  <c r="AL77" i="2"/>
  <c r="AN77" i="2"/>
  <c r="AO77" i="2"/>
  <c r="AP77" i="2"/>
  <c r="C78" i="2"/>
  <c r="D78" i="2"/>
  <c r="E78" i="2"/>
  <c r="F78" i="2"/>
  <c r="G78" i="2"/>
  <c r="I78" i="2"/>
  <c r="J78" i="2"/>
  <c r="K78" i="2"/>
  <c r="L78" i="2"/>
  <c r="M78" i="2"/>
  <c r="N78" i="2"/>
  <c r="O78" i="2"/>
  <c r="Q78" i="2"/>
  <c r="R78" i="2"/>
  <c r="S78" i="2"/>
  <c r="T78" i="2"/>
  <c r="U78" i="2"/>
  <c r="V78" i="2"/>
  <c r="W78" i="2"/>
  <c r="Y78" i="2"/>
  <c r="Z78" i="2"/>
  <c r="AA78" i="2"/>
  <c r="AB78" i="2"/>
  <c r="AD78" i="2"/>
  <c r="AE78" i="2"/>
  <c r="AF78" i="2"/>
  <c r="AG78" i="2"/>
  <c r="AI78" i="2"/>
  <c r="AJ78" i="2"/>
  <c r="AK78" i="2"/>
  <c r="AL78" i="2"/>
  <c r="AN78" i="2"/>
  <c r="AO78" i="2"/>
  <c r="AP78" i="2"/>
  <c r="H37" i="7" l="1"/>
  <c r="H39" i="7"/>
  <c r="H32" i="7"/>
  <c r="H34" i="7"/>
  <c r="AN33" i="4"/>
  <c r="G43" i="4" s="1"/>
  <c r="AN25" i="4"/>
  <c r="G39" i="4"/>
  <c r="AN9" i="4"/>
  <c r="AQ35" i="5"/>
  <c r="J62" i="5" s="1"/>
  <c r="W34" i="5"/>
  <c r="G61" i="5" s="1"/>
  <c r="J61" i="5"/>
  <c r="AH40" i="5"/>
  <c r="AH38" i="5"/>
  <c r="AH43" i="5"/>
  <c r="AC57" i="5"/>
  <c r="H66" i="5" s="1"/>
  <c r="Q45" i="5"/>
  <c r="AE45" i="5"/>
  <c r="AH37" i="5"/>
  <c r="AQ42" i="5"/>
  <c r="AQ41" i="5"/>
  <c r="AQ40" i="5"/>
  <c r="AQ39" i="5"/>
  <c r="AQ38" i="5"/>
  <c r="Y45" i="5"/>
  <c r="AK45" i="5"/>
  <c r="AQ57" i="5"/>
  <c r="G45" i="5"/>
  <c r="F45" i="5"/>
  <c r="S45" i="5"/>
  <c r="Z45" i="5"/>
  <c r="AJ45" i="5"/>
  <c r="AQ37" i="5"/>
  <c r="AN45" i="5"/>
  <c r="W43" i="5"/>
  <c r="AH42" i="5"/>
  <c r="W42" i="5"/>
  <c r="AH41" i="5"/>
  <c r="W41" i="5"/>
  <c r="W40" i="5"/>
  <c r="AH39" i="5"/>
  <c r="W39" i="5"/>
  <c r="W38" i="5"/>
  <c r="R45" i="5"/>
  <c r="AO45" i="5"/>
  <c r="I57" i="5"/>
  <c r="T45" i="5"/>
  <c r="AF45" i="5"/>
  <c r="AQ43" i="5"/>
  <c r="AA45" i="5"/>
  <c r="AM45" i="5"/>
  <c r="AH35" i="5"/>
  <c r="I62" i="5" s="1"/>
  <c r="I41" i="5"/>
  <c r="I40" i="5"/>
  <c r="I43" i="5"/>
  <c r="I42" i="5"/>
  <c r="I39" i="5"/>
  <c r="I38" i="5"/>
  <c r="W56" i="5"/>
  <c r="G65" i="5" s="1"/>
  <c r="D45" i="5"/>
  <c r="I37" i="5"/>
  <c r="I56" i="5"/>
  <c r="I35" i="5"/>
  <c r="E62" i="5" s="1"/>
  <c r="AC35" i="5"/>
  <c r="H62" i="5" s="1"/>
  <c r="AC34" i="5"/>
  <c r="H61" i="5" s="1"/>
  <c r="I61" i="5"/>
  <c r="E45" i="5"/>
  <c r="W57" i="5"/>
  <c r="AC56" i="5"/>
  <c r="H65" i="5" s="1"/>
  <c r="AH57" i="5"/>
  <c r="W35" i="5"/>
  <c r="G62" i="5" s="1"/>
  <c r="I34" i="5"/>
  <c r="E61" i="5" s="1"/>
  <c r="AN8" i="4"/>
  <c r="AN16" i="4"/>
  <c r="AN24" i="4"/>
  <c r="AN32" i="4"/>
  <c r="G42" i="4" s="1"/>
  <c r="H37" i="3"/>
  <c r="H24" i="7" s="1"/>
  <c r="B9" i="3"/>
  <c r="C9" i="3"/>
  <c r="D9" i="3"/>
  <c r="E9" i="3"/>
  <c r="G41" i="4" l="1"/>
  <c r="G40" i="4"/>
  <c r="G38" i="4"/>
  <c r="G36" i="4"/>
  <c r="G37" i="4"/>
  <c r="J63" i="5"/>
  <c r="AQ46" i="5"/>
  <c r="J64" i="5" s="1"/>
  <c r="AC46" i="5"/>
  <c r="H64" i="5" s="1"/>
  <c r="AC45" i="5"/>
  <c r="H63" i="5" s="1"/>
  <c r="W45" i="5"/>
  <c r="G63" i="5" s="1"/>
  <c r="I45" i="5"/>
  <c r="E63" i="5" s="1"/>
  <c r="I46" i="5"/>
  <c r="E64" i="5" s="1"/>
  <c r="W46" i="5"/>
  <c r="G64" i="5" s="1"/>
  <c r="AH56" i="5"/>
  <c r="U27" i="4"/>
  <c r="G3" i="4"/>
  <c r="G4" i="4"/>
  <c r="G5" i="4"/>
  <c r="G6" i="4"/>
  <c r="B8" i="4"/>
  <c r="C8" i="4"/>
  <c r="D8" i="4"/>
  <c r="E8" i="4"/>
  <c r="I63" i="5" l="1"/>
  <c r="I64" i="5"/>
  <c r="G9" i="4"/>
  <c r="B37" i="4" l="1"/>
  <c r="R32" i="4"/>
  <c r="S32" i="4"/>
  <c r="Q32" i="4"/>
  <c r="S24" i="4"/>
  <c r="R24" i="4"/>
  <c r="Q24" i="4"/>
  <c r="S16" i="4"/>
  <c r="R16" i="4"/>
  <c r="Q16" i="4"/>
  <c r="S8" i="4"/>
  <c r="R8" i="4"/>
  <c r="Q8" i="4"/>
  <c r="G27" i="4" l="1"/>
  <c r="Z30" i="4"/>
  <c r="Z29" i="4"/>
  <c r="Z28" i="4"/>
  <c r="Z27" i="4"/>
  <c r="E32" i="4"/>
  <c r="D32" i="4"/>
  <c r="C32" i="4"/>
  <c r="B32" i="4"/>
  <c r="E24" i="4"/>
  <c r="D24" i="4"/>
  <c r="C24" i="4"/>
  <c r="B24" i="4"/>
  <c r="E16" i="4"/>
  <c r="D16" i="4"/>
  <c r="C16" i="4"/>
  <c r="B16" i="4"/>
  <c r="AE30" i="4"/>
  <c r="AE29" i="4"/>
  <c r="AE28" i="4"/>
  <c r="AE27" i="4"/>
  <c r="AE22" i="4"/>
  <c r="AE21" i="4"/>
  <c r="AE20" i="4"/>
  <c r="AE19" i="4"/>
  <c r="AE14" i="4"/>
  <c r="AE13" i="4"/>
  <c r="AE12" i="4"/>
  <c r="AE11" i="4"/>
  <c r="AE6" i="4"/>
  <c r="AE5" i="4"/>
  <c r="AE4" i="4"/>
  <c r="AE3" i="4"/>
  <c r="Z22" i="4"/>
  <c r="Z21" i="4"/>
  <c r="Z20" i="4"/>
  <c r="Z19" i="4"/>
  <c r="Z14" i="4"/>
  <c r="Z13" i="4"/>
  <c r="Z12" i="4"/>
  <c r="Z11" i="4"/>
  <c r="Z3" i="4"/>
  <c r="Z4" i="4"/>
  <c r="Z5" i="4"/>
  <c r="Z6" i="4"/>
  <c r="U30" i="4"/>
  <c r="U29" i="4"/>
  <c r="U28" i="4"/>
  <c r="U22" i="4"/>
  <c r="U21" i="4"/>
  <c r="U20" i="4"/>
  <c r="U19" i="4"/>
  <c r="U14" i="4"/>
  <c r="U13" i="4"/>
  <c r="U12" i="4"/>
  <c r="U11" i="4"/>
  <c r="U4" i="4"/>
  <c r="U5" i="4"/>
  <c r="U6" i="4"/>
  <c r="U3" i="4"/>
  <c r="O30" i="4"/>
  <c r="O29" i="4"/>
  <c r="O28" i="4"/>
  <c r="O27" i="4"/>
  <c r="O22" i="4"/>
  <c r="O21" i="4"/>
  <c r="O20" i="4"/>
  <c r="O19" i="4"/>
  <c r="O14" i="4"/>
  <c r="O13" i="4"/>
  <c r="O12" i="4"/>
  <c r="O11" i="4"/>
  <c r="G30" i="4"/>
  <c r="G29" i="4"/>
  <c r="G28" i="4"/>
  <c r="G22" i="4"/>
  <c r="G21" i="4"/>
  <c r="G20" i="4"/>
  <c r="G19" i="4"/>
  <c r="G14" i="4"/>
  <c r="G13" i="4"/>
  <c r="G12" i="4"/>
  <c r="G11" i="4"/>
  <c r="AN43" i="2"/>
  <c r="AO43" i="2"/>
  <c r="AP43" i="2"/>
  <c r="AN44" i="2"/>
  <c r="AO44" i="2"/>
  <c r="AP44" i="2"/>
  <c r="AN45" i="2"/>
  <c r="AO45" i="2"/>
  <c r="AP45" i="2"/>
  <c r="AN47" i="2"/>
  <c r="AO47" i="2"/>
  <c r="AP47" i="2"/>
  <c r="AN48" i="2"/>
  <c r="AO48" i="2"/>
  <c r="AP48" i="2"/>
  <c r="AN49" i="2"/>
  <c r="AO49" i="2"/>
  <c r="AP49" i="2"/>
  <c r="AN50" i="2"/>
  <c r="AO50" i="2"/>
  <c r="AP50" i="2"/>
  <c r="AN51" i="2"/>
  <c r="AO51" i="2"/>
  <c r="AP51" i="2"/>
  <c r="AN55" i="2"/>
  <c r="AO55" i="2"/>
  <c r="AP55" i="2"/>
  <c r="AN56" i="2"/>
  <c r="AO56" i="2"/>
  <c r="AP56" i="2"/>
  <c r="AN57" i="2"/>
  <c r="AO57" i="2"/>
  <c r="AP57" i="2"/>
  <c r="AN59" i="2"/>
  <c r="AO59" i="2"/>
  <c r="AP59" i="2"/>
  <c r="AN60" i="2"/>
  <c r="AO60" i="2"/>
  <c r="AP60" i="2"/>
  <c r="AN61" i="2"/>
  <c r="AO61" i="2"/>
  <c r="AP61" i="2"/>
  <c r="AN62" i="2"/>
  <c r="AO62" i="2"/>
  <c r="AP62" i="2"/>
  <c r="AN63" i="2"/>
  <c r="AO63" i="2"/>
  <c r="AP63" i="2"/>
  <c r="AN64" i="2"/>
  <c r="AO64" i="2"/>
  <c r="AP64" i="2"/>
  <c r="AN65" i="2"/>
  <c r="AO65" i="2"/>
  <c r="AP65" i="2"/>
  <c r="AN66" i="2"/>
  <c r="AO66" i="2"/>
  <c r="AP66" i="2"/>
  <c r="AN67" i="2"/>
  <c r="AO67" i="2"/>
  <c r="AP67" i="2"/>
  <c r="AN68" i="2"/>
  <c r="AO68" i="2"/>
  <c r="AP68" i="2"/>
  <c r="AN69" i="2"/>
  <c r="AO69" i="2"/>
  <c r="AP69" i="2"/>
  <c r="AN70" i="2"/>
  <c r="AO70" i="2"/>
  <c r="AP70" i="2"/>
  <c r="AO42" i="2"/>
  <c r="AP42" i="2"/>
  <c r="AN42" i="2"/>
  <c r="AQ64" i="2"/>
  <c r="AQ63" i="2"/>
  <c r="AQ62" i="2"/>
  <c r="AQ61" i="2"/>
  <c r="AQ60" i="2"/>
  <c r="AQ59" i="2"/>
  <c r="AQ58" i="2"/>
  <c r="AQ57" i="2"/>
  <c r="AQ56" i="2"/>
  <c r="AQ55" i="2"/>
  <c r="AQ54" i="2"/>
  <c r="AQ53" i="2"/>
  <c r="AQ51" i="2"/>
  <c r="AQ50" i="2"/>
  <c r="AQ49" i="2"/>
  <c r="AQ45" i="2"/>
  <c r="AQ44" i="2"/>
  <c r="AQ43" i="2"/>
  <c r="AQ42" i="2"/>
  <c r="AQ41" i="2"/>
  <c r="AS39" i="2"/>
  <c r="AS38" i="2"/>
  <c r="AS37" i="2"/>
  <c r="AS36" i="2"/>
  <c r="AI43" i="2"/>
  <c r="AJ43" i="2"/>
  <c r="AK43" i="2"/>
  <c r="AL43" i="2"/>
  <c r="AI44" i="2"/>
  <c r="AJ44" i="2"/>
  <c r="AK44" i="2"/>
  <c r="AL44" i="2"/>
  <c r="AI45" i="2"/>
  <c r="AJ45" i="2"/>
  <c r="AK45" i="2"/>
  <c r="AL45" i="2"/>
  <c r="AI47" i="2"/>
  <c r="AJ47" i="2"/>
  <c r="AK47" i="2"/>
  <c r="AL47" i="2"/>
  <c r="AI48" i="2"/>
  <c r="AJ48" i="2"/>
  <c r="AK48" i="2"/>
  <c r="AL48" i="2"/>
  <c r="AI49" i="2"/>
  <c r="AJ49" i="2"/>
  <c r="AK49" i="2"/>
  <c r="AL49" i="2"/>
  <c r="AI50" i="2"/>
  <c r="AJ50" i="2"/>
  <c r="AK50" i="2"/>
  <c r="AL50" i="2"/>
  <c r="AI51" i="2"/>
  <c r="AJ51" i="2"/>
  <c r="AK51" i="2"/>
  <c r="AL51" i="2"/>
  <c r="AI55" i="2"/>
  <c r="AJ55" i="2"/>
  <c r="AK55" i="2"/>
  <c r="AL55" i="2"/>
  <c r="AI56" i="2"/>
  <c r="AJ56" i="2"/>
  <c r="AK56" i="2"/>
  <c r="AL56" i="2"/>
  <c r="AI57" i="2"/>
  <c r="AJ57" i="2"/>
  <c r="AK57" i="2"/>
  <c r="AL57" i="2"/>
  <c r="AI59" i="2"/>
  <c r="AJ59" i="2"/>
  <c r="AK59" i="2"/>
  <c r="AL59" i="2"/>
  <c r="AI60" i="2"/>
  <c r="AJ60" i="2"/>
  <c r="AK60" i="2"/>
  <c r="AL60" i="2"/>
  <c r="AI61" i="2"/>
  <c r="AJ61" i="2"/>
  <c r="AK61" i="2"/>
  <c r="AL61" i="2"/>
  <c r="AI62" i="2"/>
  <c r="AJ62" i="2"/>
  <c r="AK62" i="2"/>
  <c r="AL62" i="2"/>
  <c r="AI63" i="2"/>
  <c r="AJ63" i="2"/>
  <c r="AK63" i="2"/>
  <c r="AL63" i="2"/>
  <c r="AI64" i="2"/>
  <c r="AJ64" i="2"/>
  <c r="AK64" i="2"/>
  <c r="AL64" i="2"/>
  <c r="AI65" i="2"/>
  <c r="AJ65" i="2"/>
  <c r="AK65" i="2"/>
  <c r="AL65" i="2"/>
  <c r="AI66" i="2"/>
  <c r="AJ66" i="2"/>
  <c r="AK66" i="2"/>
  <c r="AL66" i="2"/>
  <c r="AI67" i="2"/>
  <c r="AJ67" i="2"/>
  <c r="AK67" i="2"/>
  <c r="AL67" i="2"/>
  <c r="AI68" i="2"/>
  <c r="AJ68" i="2"/>
  <c r="AK68" i="2"/>
  <c r="AL68" i="2"/>
  <c r="AI69" i="2"/>
  <c r="AJ69" i="2"/>
  <c r="AK69" i="2"/>
  <c r="AL69" i="2"/>
  <c r="AI70" i="2"/>
  <c r="AJ70" i="2"/>
  <c r="AK70" i="2"/>
  <c r="AL70" i="2"/>
  <c r="AJ42" i="2"/>
  <c r="AK42" i="2"/>
  <c r="AL42" i="2"/>
  <c r="AI42" i="2"/>
  <c r="AD43" i="2"/>
  <c r="AE43" i="2"/>
  <c r="AF43" i="2"/>
  <c r="AG43" i="2"/>
  <c r="AD44" i="2"/>
  <c r="AE44" i="2"/>
  <c r="AF44" i="2"/>
  <c r="AG44" i="2"/>
  <c r="AD45" i="2"/>
  <c r="AE45" i="2"/>
  <c r="AF45" i="2"/>
  <c r="AG45" i="2"/>
  <c r="AD47" i="2"/>
  <c r="AE47" i="2"/>
  <c r="AF47" i="2"/>
  <c r="AG47" i="2"/>
  <c r="AD48" i="2"/>
  <c r="AE48" i="2"/>
  <c r="AF48" i="2"/>
  <c r="AG48" i="2"/>
  <c r="AD49" i="2"/>
  <c r="AE49" i="2"/>
  <c r="AF49" i="2"/>
  <c r="AG49" i="2"/>
  <c r="AD50" i="2"/>
  <c r="AE50" i="2"/>
  <c r="AF50" i="2"/>
  <c r="AG50" i="2"/>
  <c r="AD51" i="2"/>
  <c r="AE51" i="2"/>
  <c r="AF51" i="2"/>
  <c r="AG51" i="2"/>
  <c r="AD55" i="2"/>
  <c r="AE55" i="2"/>
  <c r="AF55" i="2"/>
  <c r="AG55" i="2"/>
  <c r="AD56" i="2"/>
  <c r="AE56" i="2"/>
  <c r="AF56" i="2"/>
  <c r="AG56" i="2"/>
  <c r="AD57" i="2"/>
  <c r="AE57" i="2"/>
  <c r="AF57" i="2"/>
  <c r="AG57" i="2"/>
  <c r="AD59" i="2"/>
  <c r="AE59" i="2"/>
  <c r="AF59" i="2"/>
  <c r="AG59" i="2"/>
  <c r="AD60" i="2"/>
  <c r="AE60" i="2"/>
  <c r="AF60" i="2"/>
  <c r="AG60" i="2"/>
  <c r="AD61" i="2"/>
  <c r="AE61" i="2"/>
  <c r="AF61" i="2"/>
  <c r="AG61" i="2"/>
  <c r="AD62" i="2"/>
  <c r="AE62" i="2"/>
  <c r="AF62" i="2"/>
  <c r="AG62" i="2"/>
  <c r="AD63" i="2"/>
  <c r="AE63" i="2"/>
  <c r="AF63" i="2"/>
  <c r="AG63" i="2"/>
  <c r="AD64" i="2"/>
  <c r="AE64" i="2"/>
  <c r="AF64" i="2"/>
  <c r="AG64" i="2"/>
  <c r="AD65" i="2"/>
  <c r="AE65" i="2"/>
  <c r="AF65" i="2"/>
  <c r="AG65" i="2"/>
  <c r="AD66" i="2"/>
  <c r="AE66" i="2"/>
  <c r="AF66" i="2"/>
  <c r="AG66" i="2"/>
  <c r="AD67" i="2"/>
  <c r="AE67" i="2"/>
  <c r="AF67" i="2"/>
  <c r="AG67" i="2"/>
  <c r="AD68" i="2"/>
  <c r="AE68" i="2"/>
  <c r="AF68" i="2"/>
  <c r="AG68" i="2"/>
  <c r="AD69" i="2"/>
  <c r="AE69" i="2"/>
  <c r="AF69" i="2"/>
  <c r="AG69" i="2"/>
  <c r="AD70" i="2"/>
  <c r="AE70" i="2"/>
  <c r="AF70" i="2"/>
  <c r="AG70" i="2"/>
  <c r="AE42" i="2"/>
  <c r="AF42" i="2"/>
  <c r="AG42" i="2"/>
  <c r="Y43" i="2"/>
  <c r="Z43" i="2"/>
  <c r="AA43" i="2"/>
  <c r="AB43" i="2"/>
  <c r="Y44" i="2"/>
  <c r="Z44" i="2"/>
  <c r="AA44" i="2"/>
  <c r="AB44" i="2"/>
  <c r="Y45" i="2"/>
  <c r="Z45" i="2"/>
  <c r="AA45" i="2"/>
  <c r="AB45" i="2"/>
  <c r="Y47" i="2"/>
  <c r="Z47" i="2"/>
  <c r="AA47" i="2"/>
  <c r="AB47" i="2"/>
  <c r="Y48" i="2"/>
  <c r="Z48" i="2"/>
  <c r="AA48" i="2"/>
  <c r="AB48" i="2"/>
  <c r="Y49" i="2"/>
  <c r="Z49" i="2"/>
  <c r="AA49" i="2"/>
  <c r="AB49" i="2"/>
  <c r="Y50" i="2"/>
  <c r="Z50" i="2"/>
  <c r="AA50" i="2"/>
  <c r="AB50" i="2"/>
  <c r="Y51" i="2"/>
  <c r="Z51" i="2"/>
  <c r="AA51" i="2"/>
  <c r="AB51" i="2"/>
  <c r="Y55" i="2"/>
  <c r="Z55" i="2"/>
  <c r="AA55" i="2"/>
  <c r="AB55" i="2"/>
  <c r="Y56" i="2"/>
  <c r="Z56" i="2"/>
  <c r="AA56" i="2"/>
  <c r="AB56" i="2"/>
  <c r="Y57" i="2"/>
  <c r="Z57" i="2"/>
  <c r="AA57" i="2"/>
  <c r="AB57" i="2"/>
  <c r="Y59" i="2"/>
  <c r="Z59" i="2"/>
  <c r="AA59" i="2"/>
  <c r="AB59" i="2"/>
  <c r="Y60" i="2"/>
  <c r="Z60" i="2"/>
  <c r="AA60" i="2"/>
  <c r="AB60" i="2"/>
  <c r="Y61" i="2"/>
  <c r="Z61" i="2"/>
  <c r="AA61" i="2"/>
  <c r="AB61" i="2"/>
  <c r="Y62" i="2"/>
  <c r="Z62" i="2"/>
  <c r="AA62" i="2"/>
  <c r="AB62" i="2"/>
  <c r="Y63" i="2"/>
  <c r="Z63" i="2"/>
  <c r="AA63" i="2"/>
  <c r="AB63" i="2"/>
  <c r="Y64" i="2"/>
  <c r="Z64" i="2"/>
  <c r="AA64" i="2"/>
  <c r="AB64" i="2"/>
  <c r="Y65" i="2"/>
  <c r="Z65" i="2"/>
  <c r="AA65" i="2"/>
  <c r="AB65" i="2"/>
  <c r="Y66" i="2"/>
  <c r="Z66" i="2"/>
  <c r="AA66" i="2"/>
  <c r="AB66" i="2"/>
  <c r="Y67" i="2"/>
  <c r="Z67" i="2"/>
  <c r="AA67" i="2"/>
  <c r="AB67" i="2"/>
  <c r="Y68" i="2"/>
  <c r="Z68" i="2"/>
  <c r="AA68" i="2"/>
  <c r="AB68" i="2"/>
  <c r="Y69" i="2"/>
  <c r="Z69" i="2"/>
  <c r="AA69" i="2"/>
  <c r="AB69" i="2"/>
  <c r="Y70" i="2"/>
  <c r="Z70" i="2"/>
  <c r="AA70" i="2"/>
  <c r="AB70" i="2"/>
  <c r="Z42" i="2"/>
  <c r="AA42" i="2"/>
  <c r="AB42" i="2"/>
  <c r="Y42" i="2"/>
  <c r="O24" i="4" l="1"/>
  <c r="U17" i="4"/>
  <c r="U25" i="4"/>
  <c r="U33" i="4"/>
  <c r="D43" i="4" s="1"/>
  <c r="U8" i="4"/>
  <c r="U9" i="4"/>
  <c r="Z8" i="4"/>
  <c r="U32" i="4"/>
  <c r="U16" i="4"/>
  <c r="O25" i="4"/>
  <c r="G32" i="4"/>
  <c r="G33" i="4"/>
  <c r="B43" i="4" s="1"/>
  <c r="O9" i="4"/>
  <c r="O8" i="4"/>
  <c r="B42" i="4"/>
  <c r="Z16" i="4"/>
  <c r="Z33" i="4"/>
  <c r="Z17" i="4"/>
  <c r="O17" i="4"/>
  <c r="O33" i="4"/>
  <c r="D39" i="4"/>
  <c r="D41" i="4"/>
  <c r="Z25" i="4"/>
  <c r="AE9" i="4"/>
  <c r="AE17" i="4"/>
  <c r="AE25" i="4"/>
  <c r="AE33" i="4"/>
  <c r="D37" i="4"/>
  <c r="Z9" i="4"/>
  <c r="Z32" i="4"/>
  <c r="AE32" i="4"/>
  <c r="AE24" i="4"/>
  <c r="AE16" i="4"/>
  <c r="AE8" i="4"/>
  <c r="Z24" i="4"/>
  <c r="G8" i="4"/>
  <c r="U24" i="4"/>
  <c r="D36" i="4"/>
  <c r="G17" i="4"/>
  <c r="G25" i="4"/>
  <c r="O32" i="4"/>
  <c r="O16" i="4"/>
  <c r="G24" i="4"/>
  <c r="G16" i="4"/>
  <c r="AE29" i="3"/>
  <c r="AE28" i="3"/>
  <c r="AE27" i="3"/>
  <c r="AE26" i="3"/>
  <c r="AE25" i="3"/>
  <c r="AE24" i="3"/>
  <c r="AE23" i="3"/>
  <c r="AE18" i="3"/>
  <c r="AE17" i="3"/>
  <c r="AE16" i="3"/>
  <c r="AE15" i="3"/>
  <c r="AE14" i="3"/>
  <c r="AE13" i="3"/>
  <c r="AE12" i="3"/>
  <c r="AE7" i="3"/>
  <c r="AE6" i="3"/>
  <c r="AE5" i="3"/>
  <c r="AE4" i="3"/>
  <c r="AE3" i="3"/>
  <c r="C69" i="2"/>
  <c r="D69" i="2"/>
  <c r="E69" i="2"/>
  <c r="F69" i="2"/>
  <c r="G69" i="2"/>
  <c r="I69" i="2"/>
  <c r="J69" i="2"/>
  <c r="K69" i="2"/>
  <c r="L69" i="2"/>
  <c r="M69" i="2"/>
  <c r="N69" i="2"/>
  <c r="O69" i="2"/>
  <c r="Q69" i="2"/>
  <c r="R69" i="2"/>
  <c r="S69" i="2"/>
  <c r="T69" i="2"/>
  <c r="U69" i="2"/>
  <c r="V69" i="2"/>
  <c r="W69" i="2"/>
  <c r="A70" i="2"/>
  <c r="C70" i="2"/>
  <c r="D70" i="2"/>
  <c r="E70" i="2"/>
  <c r="F70" i="2"/>
  <c r="G70" i="2"/>
  <c r="I70" i="2"/>
  <c r="J70" i="2"/>
  <c r="K70" i="2"/>
  <c r="L70" i="2"/>
  <c r="M70" i="2"/>
  <c r="N70" i="2"/>
  <c r="O70" i="2"/>
  <c r="Q70" i="2"/>
  <c r="R70" i="2"/>
  <c r="S70" i="2"/>
  <c r="T70" i="2"/>
  <c r="U70" i="2"/>
  <c r="V70" i="2"/>
  <c r="W70" i="2"/>
  <c r="C41" i="4" l="1"/>
  <c r="C40" i="4"/>
  <c r="C36" i="4"/>
  <c r="C37" i="4"/>
  <c r="B40" i="4"/>
  <c r="B41" i="4"/>
  <c r="B38" i="4"/>
  <c r="B39" i="4"/>
  <c r="B36" i="4"/>
  <c r="G37" i="3"/>
  <c r="G24" i="7" s="1"/>
  <c r="G36" i="3"/>
  <c r="G23" i="7" s="1"/>
  <c r="G40" i="3"/>
  <c r="G41" i="3"/>
  <c r="G25" i="7"/>
  <c r="G39" i="3"/>
  <c r="G26" i="7" s="1"/>
  <c r="D38" i="4"/>
  <c r="D42" i="4"/>
  <c r="D40" i="4"/>
  <c r="C31" i="3"/>
  <c r="D31" i="3"/>
  <c r="E31" i="3"/>
  <c r="I31" i="3"/>
  <c r="J31" i="3"/>
  <c r="N31" i="3"/>
  <c r="O31" i="3"/>
  <c r="P31" i="3"/>
  <c r="Q31" i="3"/>
  <c r="R31" i="3"/>
  <c r="V31" i="3"/>
  <c r="W31" i="3"/>
  <c r="X31" i="3"/>
  <c r="B31" i="3"/>
  <c r="C20" i="3"/>
  <c r="D20" i="3"/>
  <c r="E20" i="3"/>
  <c r="I20" i="3"/>
  <c r="J20" i="3"/>
  <c r="N20" i="3"/>
  <c r="O20" i="3"/>
  <c r="P20" i="3"/>
  <c r="Q20" i="3"/>
  <c r="R20" i="3"/>
  <c r="V20" i="3"/>
  <c r="W20" i="3"/>
  <c r="X20" i="3"/>
  <c r="B20" i="3"/>
  <c r="O9" i="3"/>
  <c r="P9" i="3"/>
  <c r="Q9" i="3"/>
  <c r="R9" i="3"/>
  <c r="V9" i="3"/>
  <c r="W9" i="3"/>
  <c r="X9" i="3"/>
  <c r="N9" i="3"/>
  <c r="J9" i="3"/>
  <c r="I9" i="3"/>
  <c r="Z4" i="3"/>
  <c r="Z5" i="3"/>
  <c r="Z6" i="3"/>
  <c r="Z7" i="3"/>
  <c r="Z12" i="3"/>
  <c r="Z13" i="3"/>
  <c r="Z14" i="3"/>
  <c r="Z15" i="3"/>
  <c r="Z16" i="3"/>
  <c r="Z17" i="3"/>
  <c r="Z18" i="3"/>
  <c r="Z23" i="3"/>
  <c r="Z24" i="3"/>
  <c r="Z25" i="3"/>
  <c r="Z26" i="3"/>
  <c r="Z27" i="3"/>
  <c r="Z28" i="3"/>
  <c r="Z29" i="3"/>
  <c r="Z3" i="3"/>
  <c r="L4" i="3"/>
  <c r="L5" i="3"/>
  <c r="L6" i="3"/>
  <c r="L7" i="3"/>
  <c r="L12" i="3"/>
  <c r="L13" i="3"/>
  <c r="L14" i="3"/>
  <c r="L15" i="3"/>
  <c r="L16" i="3"/>
  <c r="L17" i="3"/>
  <c r="L18" i="3"/>
  <c r="L23" i="3"/>
  <c r="L24" i="3"/>
  <c r="L25" i="3"/>
  <c r="L26" i="3"/>
  <c r="L27" i="3"/>
  <c r="L28" i="3"/>
  <c r="L29" i="3"/>
  <c r="L3" i="3"/>
  <c r="G28" i="3"/>
  <c r="G29" i="3"/>
  <c r="G17" i="3"/>
  <c r="G18" i="3"/>
  <c r="G27" i="3"/>
  <c r="G26" i="3"/>
  <c r="G25" i="3"/>
  <c r="G24" i="3"/>
  <c r="G23" i="3"/>
  <c r="G16" i="3"/>
  <c r="G15" i="3"/>
  <c r="G14" i="3"/>
  <c r="G13" i="3"/>
  <c r="G12" i="3"/>
  <c r="G4" i="3"/>
  <c r="G5" i="3"/>
  <c r="G6" i="3"/>
  <c r="G7" i="3"/>
  <c r="G3" i="3"/>
  <c r="Q43" i="2"/>
  <c r="R43" i="2"/>
  <c r="S43" i="2"/>
  <c r="T43" i="2"/>
  <c r="U43" i="2"/>
  <c r="V43" i="2"/>
  <c r="W43" i="2"/>
  <c r="Q44" i="2"/>
  <c r="R44" i="2"/>
  <c r="S44" i="2"/>
  <c r="T44" i="2"/>
  <c r="U44" i="2"/>
  <c r="V44" i="2"/>
  <c r="W44" i="2"/>
  <c r="Q45" i="2"/>
  <c r="R45" i="2"/>
  <c r="S45" i="2"/>
  <c r="T45" i="2"/>
  <c r="U45" i="2"/>
  <c r="V45" i="2"/>
  <c r="W45" i="2"/>
  <c r="Q47" i="2"/>
  <c r="R47" i="2"/>
  <c r="S47" i="2"/>
  <c r="T47" i="2"/>
  <c r="U47" i="2"/>
  <c r="V47" i="2"/>
  <c r="W47" i="2"/>
  <c r="Q48" i="2"/>
  <c r="R48" i="2"/>
  <c r="S48" i="2"/>
  <c r="T48" i="2"/>
  <c r="U48" i="2"/>
  <c r="V48" i="2"/>
  <c r="W48" i="2"/>
  <c r="Q49" i="2"/>
  <c r="R49" i="2"/>
  <c r="S49" i="2"/>
  <c r="T49" i="2"/>
  <c r="U49" i="2"/>
  <c r="V49" i="2"/>
  <c r="W49" i="2"/>
  <c r="Q50" i="2"/>
  <c r="R50" i="2"/>
  <c r="S50" i="2"/>
  <c r="T50" i="2"/>
  <c r="U50" i="2"/>
  <c r="V50" i="2"/>
  <c r="W50" i="2"/>
  <c r="Q51" i="2"/>
  <c r="R51" i="2"/>
  <c r="S51" i="2"/>
  <c r="T51" i="2"/>
  <c r="U51" i="2"/>
  <c r="V51" i="2"/>
  <c r="W51" i="2"/>
  <c r="Q55" i="2"/>
  <c r="R55" i="2"/>
  <c r="S55" i="2"/>
  <c r="T55" i="2"/>
  <c r="U55" i="2"/>
  <c r="V55" i="2"/>
  <c r="W55" i="2"/>
  <c r="Q56" i="2"/>
  <c r="R56" i="2"/>
  <c r="S56" i="2"/>
  <c r="T56" i="2"/>
  <c r="U56" i="2"/>
  <c r="V56" i="2"/>
  <c r="W56" i="2"/>
  <c r="Q57" i="2"/>
  <c r="R57" i="2"/>
  <c r="S57" i="2"/>
  <c r="T57" i="2"/>
  <c r="U57" i="2"/>
  <c r="V57" i="2"/>
  <c r="W57" i="2"/>
  <c r="Q59" i="2"/>
  <c r="R59" i="2"/>
  <c r="S59" i="2"/>
  <c r="T59" i="2"/>
  <c r="U59" i="2"/>
  <c r="V59" i="2"/>
  <c r="W59" i="2"/>
  <c r="Q60" i="2"/>
  <c r="R60" i="2"/>
  <c r="S60" i="2"/>
  <c r="T60" i="2"/>
  <c r="U60" i="2"/>
  <c r="V60" i="2"/>
  <c r="W60" i="2"/>
  <c r="Q61" i="2"/>
  <c r="R61" i="2"/>
  <c r="S61" i="2"/>
  <c r="T61" i="2"/>
  <c r="U61" i="2"/>
  <c r="V61" i="2"/>
  <c r="W61" i="2"/>
  <c r="Q62" i="2"/>
  <c r="R62" i="2"/>
  <c r="S62" i="2"/>
  <c r="T62" i="2"/>
  <c r="U62" i="2"/>
  <c r="V62" i="2"/>
  <c r="W62" i="2"/>
  <c r="Q63" i="2"/>
  <c r="R63" i="2"/>
  <c r="S63" i="2"/>
  <c r="T63" i="2"/>
  <c r="U63" i="2"/>
  <c r="V63" i="2"/>
  <c r="W63" i="2"/>
  <c r="Q64" i="2"/>
  <c r="R64" i="2"/>
  <c r="S64" i="2"/>
  <c r="T64" i="2"/>
  <c r="U64" i="2"/>
  <c r="V64" i="2"/>
  <c r="W64" i="2"/>
  <c r="Q65" i="2"/>
  <c r="R65" i="2"/>
  <c r="S65" i="2"/>
  <c r="T65" i="2"/>
  <c r="U65" i="2"/>
  <c r="V65" i="2"/>
  <c r="W65" i="2"/>
  <c r="Q66" i="2"/>
  <c r="R66" i="2"/>
  <c r="S66" i="2"/>
  <c r="T66" i="2"/>
  <c r="U66" i="2"/>
  <c r="V66" i="2"/>
  <c r="W66" i="2"/>
  <c r="Q67" i="2"/>
  <c r="R67" i="2"/>
  <c r="S67" i="2"/>
  <c r="T67" i="2"/>
  <c r="U67" i="2"/>
  <c r="V67" i="2"/>
  <c r="W67" i="2"/>
  <c r="R42" i="2"/>
  <c r="S42" i="2"/>
  <c r="T42" i="2"/>
  <c r="U42" i="2"/>
  <c r="V42" i="2"/>
  <c r="W42" i="2"/>
  <c r="Q42" i="2"/>
  <c r="I43" i="2"/>
  <c r="J43" i="2"/>
  <c r="K43" i="2"/>
  <c r="L43" i="2"/>
  <c r="M43" i="2"/>
  <c r="N43" i="2"/>
  <c r="O43" i="2"/>
  <c r="I44" i="2"/>
  <c r="J44" i="2"/>
  <c r="K44" i="2"/>
  <c r="L44" i="2"/>
  <c r="M44" i="2"/>
  <c r="N44" i="2"/>
  <c r="O44" i="2"/>
  <c r="I45" i="2"/>
  <c r="J45" i="2"/>
  <c r="K45" i="2"/>
  <c r="L45" i="2"/>
  <c r="M45" i="2"/>
  <c r="N45" i="2"/>
  <c r="O45" i="2"/>
  <c r="I47" i="2"/>
  <c r="J47" i="2"/>
  <c r="K47" i="2"/>
  <c r="L47" i="2"/>
  <c r="M47" i="2"/>
  <c r="N47" i="2"/>
  <c r="O47" i="2"/>
  <c r="I48" i="2"/>
  <c r="J48" i="2"/>
  <c r="K48" i="2"/>
  <c r="L48" i="2"/>
  <c r="M48" i="2"/>
  <c r="N48" i="2"/>
  <c r="O48" i="2"/>
  <c r="I49" i="2"/>
  <c r="J49" i="2"/>
  <c r="K49" i="2"/>
  <c r="L49" i="2"/>
  <c r="M49" i="2"/>
  <c r="N49" i="2"/>
  <c r="O49" i="2"/>
  <c r="I50" i="2"/>
  <c r="J50" i="2"/>
  <c r="K50" i="2"/>
  <c r="L50" i="2"/>
  <c r="M50" i="2"/>
  <c r="N50" i="2"/>
  <c r="O50" i="2"/>
  <c r="I51" i="2"/>
  <c r="J51" i="2"/>
  <c r="K51" i="2"/>
  <c r="L51" i="2"/>
  <c r="M51" i="2"/>
  <c r="N51" i="2"/>
  <c r="O51" i="2"/>
  <c r="I55" i="2"/>
  <c r="J55" i="2"/>
  <c r="K55" i="2"/>
  <c r="L55" i="2"/>
  <c r="M55" i="2"/>
  <c r="N55" i="2"/>
  <c r="O55" i="2"/>
  <c r="I56" i="2"/>
  <c r="J56" i="2"/>
  <c r="K56" i="2"/>
  <c r="L56" i="2"/>
  <c r="M56" i="2"/>
  <c r="N56" i="2"/>
  <c r="O56" i="2"/>
  <c r="I57" i="2"/>
  <c r="J57" i="2"/>
  <c r="K57" i="2"/>
  <c r="L57" i="2"/>
  <c r="M57" i="2"/>
  <c r="N57" i="2"/>
  <c r="O57" i="2"/>
  <c r="I59" i="2"/>
  <c r="J59" i="2"/>
  <c r="K59" i="2"/>
  <c r="L59" i="2"/>
  <c r="M59" i="2"/>
  <c r="N59" i="2"/>
  <c r="O59" i="2"/>
  <c r="I60" i="2"/>
  <c r="J60" i="2"/>
  <c r="K60" i="2"/>
  <c r="L60" i="2"/>
  <c r="M60" i="2"/>
  <c r="N60" i="2"/>
  <c r="O60" i="2"/>
  <c r="I61" i="2"/>
  <c r="J61" i="2"/>
  <c r="K61" i="2"/>
  <c r="L61" i="2"/>
  <c r="M61" i="2"/>
  <c r="N61" i="2"/>
  <c r="O61" i="2"/>
  <c r="I62" i="2"/>
  <c r="J62" i="2"/>
  <c r="K62" i="2"/>
  <c r="L62" i="2"/>
  <c r="M62" i="2"/>
  <c r="N62" i="2"/>
  <c r="O62" i="2"/>
  <c r="I63" i="2"/>
  <c r="J63" i="2"/>
  <c r="K63" i="2"/>
  <c r="L63" i="2"/>
  <c r="M63" i="2"/>
  <c r="N63" i="2"/>
  <c r="O63" i="2"/>
  <c r="I64" i="2"/>
  <c r="J64" i="2"/>
  <c r="K64" i="2"/>
  <c r="L64" i="2"/>
  <c r="M64" i="2"/>
  <c r="N64" i="2"/>
  <c r="O64" i="2"/>
  <c r="I65" i="2"/>
  <c r="J65" i="2"/>
  <c r="K65" i="2"/>
  <c r="L65" i="2"/>
  <c r="M65" i="2"/>
  <c r="N65" i="2"/>
  <c r="O65" i="2"/>
  <c r="I66" i="2"/>
  <c r="J66" i="2"/>
  <c r="K66" i="2"/>
  <c r="L66" i="2"/>
  <c r="M66" i="2"/>
  <c r="N66" i="2"/>
  <c r="O66" i="2"/>
  <c r="I67" i="2"/>
  <c r="J67" i="2"/>
  <c r="K67" i="2"/>
  <c r="L67" i="2"/>
  <c r="M67" i="2"/>
  <c r="N67" i="2"/>
  <c r="O67" i="2"/>
  <c r="J42" i="2"/>
  <c r="K42" i="2"/>
  <c r="L42" i="2"/>
  <c r="M42" i="2"/>
  <c r="N42" i="2"/>
  <c r="O42" i="2"/>
  <c r="C43" i="2"/>
  <c r="D43" i="2"/>
  <c r="E43" i="2"/>
  <c r="F43" i="2"/>
  <c r="G43" i="2"/>
  <c r="C44" i="2"/>
  <c r="D44" i="2"/>
  <c r="E44" i="2"/>
  <c r="F44" i="2"/>
  <c r="G44" i="2"/>
  <c r="C45" i="2"/>
  <c r="D45" i="2"/>
  <c r="E45" i="2"/>
  <c r="F45" i="2"/>
  <c r="G45" i="2"/>
  <c r="C47" i="2"/>
  <c r="D47" i="2"/>
  <c r="E47" i="2"/>
  <c r="F47" i="2"/>
  <c r="G47" i="2"/>
  <c r="C48" i="2"/>
  <c r="D48" i="2"/>
  <c r="E48" i="2"/>
  <c r="F48" i="2"/>
  <c r="G48" i="2"/>
  <c r="C49" i="2"/>
  <c r="D49" i="2"/>
  <c r="E49" i="2"/>
  <c r="F49" i="2"/>
  <c r="G49" i="2"/>
  <c r="C50" i="2"/>
  <c r="D50" i="2"/>
  <c r="E50" i="2"/>
  <c r="F50" i="2"/>
  <c r="G50" i="2"/>
  <c r="C51" i="2"/>
  <c r="D51" i="2"/>
  <c r="E51" i="2"/>
  <c r="F51" i="2"/>
  <c r="G51" i="2"/>
  <c r="C55" i="2"/>
  <c r="D55" i="2"/>
  <c r="E55" i="2"/>
  <c r="F55" i="2"/>
  <c r="G55" i="2"/>
  <c r="C56" i="2"/>
  <c r="D56" i="2"/>
  <c r="E56" i="2"/>
  <c r="F56" i="2"/>
  <c r="G56" i="2"/>
  <c r="C57" i="2"/>
  <c r="D57" i="2"/>
  <c r="E57" i="2"/>
  <c r="F57" i="2"/>
  <c r="G57" i="2"/>
  <c r="C59" i="2"/>
  <c r="D59" i="2"/>
  <c r="E59" i="2"/>
  <c r="F59" i="2"/>
  <c r="G59" i="2"/>
  <c r="C60" i="2"/>
  <c r="D60" i="2"/>
  <c r="E60" i="2"/>
  <c r="F60" i="2"/>
  <c r="G60" i="2"/>
  <c r="C61" i="2"/>
  <c r="D61" i="2"/>
  <c r="E61" i="2"/>
  <c r="F61" i="2"/>
  <c r="G61" i="2"/>
  <c r="C62" i="2"/>
  <c r="D62" i="2"/>
  <c r="E62" i="2"/>
  <c r="F62" i="2"/>
  <c r="G62" i="2"/>
  <c r="C63" i="2"/>
  <c r="D63" i="2"/>
  <c r="E63" i="2"/>
  <c r="F63" i="2"/>
  <c r="G63" i="2"/>
  <c r="C64" i="2"/>
  <c r="D64" i="2"/>
  <c r="E64" i="2"/>
  <c r="F64" i="2"/>
  <c r="G64" i="2"/>
  <c r="C65" i="2"/>
  <c r="D65" i="2"/>
  <c r="E65" i="2"/>
  <c r="F65" i="2"/>
  <c r="G65" i="2"/>
  <c r="C66" i="2"/>
  <c r="D66" i="2"/>
  <c r="E66" i="2"/>
  <c r="F66" i="2"/>
  <c r="G66" i="2"/>
  <c r="C67" i="2"/>
  <c r="D67" i="2"/>
  <c r="E67" i="2"/>
  <c r="F67" i="2"/>
  <c r="G67" i="2"/>
  <c r="D42" i="2"/>
  <c r="E42" i="2"/>
  <c r="F42" i="2"/>
  <c r="G42" i="2"/>
  <c r="C42" i="2"/>
  <c r="A43" i="2"/>
  <c r="A44" i="2"/>
  <c r="A45" i="2"/>
  <c r="A47" i="2"/>
  <c r="A48" i="2"/>
  <c r="A49" i="2"/>
  <c r="A50" i="2"/>
  <c r="A51" i="2"/>
  <c r="A55" i="2"/>
  <c r="A56" i="2"/>
  <c r="A57" i="2"/>
  <c r="A59" i="2"/>
  <c r="A60" i="2"/>
  <c r="A61" i="2"/>
  <c r="A62" i="2"/>
  <c r="A63" i="2"/>
  <c r="A64" i="2"/>
  <c r="A65" i="2"/>
  <c r="A66" i="2"/>
  <c r="A67" i="2"/>
  <c r="A42" i="2"/>
  <c r="G34" i="7" l="1"/>
  <c r="G39" i="7"/>
  <c r="G32" i="7"/>
  <c r="G37" i="7"/>
  <c r="G10" i="3"/>
  <c r="C37" i="3" s="1"/>
  <c r="D36" i="3"/>
  <c r="D23" i="7" s="1"/>
  <c r="D37" i="3"/>
  <c r="D24" i="7" s="1"/>
  <c r="E39" i="3"/>
  <c r="E26" i="7" s="1"/>
  <c r="E38" i="3"/>
  <c r="E25" i="7" s="1"/>
  <c r="F36" i="3"/>
  <c r="Z10" i="3"/>
  <c r="F37" i="3" s="1"/>
  <c r="F38" i="3"/>
  <c r="G32" i="3"/>
  <c r="C41" i="3" s="1"/>
  <c r="G31" i="3"/>
  <c r="C40" i="3" s="1"/>
  <c r="E37" i="3"/>
  <c r="E24" i="7" s="1"/>
  <c r="T9" i="3"/>
  <c r="E36" i="3" s="1"/>
  <c r="E23" i="7" s="1"/>
  <c r="E40" i="3"/>
  <c r="E27" i="7" s="1"/>
  <c r="E41" i="3"/>
  <c r="E28" i="7" s="1"/>
  <c r="F40" i="3"/>
  <c r="Z32" i="3"/>
  <c r="F41" i="3" s="1"/>
  <c r="F39" i="3"/>
  <c r="G21" i="3"/>
  <c r="C39" i="3" s="1"/>
  <c r="G20" i="3"/>
  <c r="C38" i="3" s="1"/>
  <c r="L32" i="3"/>
  <c r="D41" i="3" s="1"/>
  <c r="L31" i="3"/>
  <c r="D40" i="3" s="1"/>
  <c r="L21" i="3"/>
  <c r="D39" i="3" s="1"/>
  <c r="L20" i="3"/>
  <c r="D38" i="3" s="1"/>
  <c r="G9" i="3"/>
  <c r="C36" i="3" s="1"/>
  <c r="E32" i="7" l="1"/>
  <c r="E37" i="7"/>
  <c r="E39" i="7"/>
  <c r="E34" i="7"/>
  <c r="D34" i="7"/>
  <c r="D32" i="7"/>
  <c r="D37" i="7"/>
  <c r="D39" i="7"/>
</calcChain>
</file>

<file path=xl/sharedStrings.xml><?xml version="1.0" encoding="utf-8"?>
<sst xmlns="http://schemas.openxmlformats.org/spreadsheetml/2006/main" count="439" uniqueCount="125">
  <si>
    <t>Taxon</t>
  </si>
  <si>
    <t>k__Bacteria;p__Actinobacteria;c__Actinobacteria;o__Actinomycetales;f__Mycobacteriaceae;g__Mycobacterium;Other</t>
  </si>
  <si>
    <t>k__Bacteria;p__Actinobacteria;c__Actinobacteria;o__Actinomycetales;f__Mycobacteriaceae;g__Mycobacterium;s__</t>
  </si>
  <si>
    <t>k__Bacteria;p__Actinobacteria;c__Actinobacteria;o__Actinomycetales;f__Mycobacteriaceae;g__Mycobacterium;s__celatum</t>
  </si>
  <si>
    <t>k__Bacteria;p__Actinobacteria;c__Actinobacteria;o__Actinomycetales;f__Mycobacteriaceae;g__Mycobacterium;s__vaccae</t>
  </si>
  <si>
    <t>k__Bacteria;p__Firmicutes;c__Clostridia;o__Clostridiales;f__Clostridiaceae;Other;Other</t>
  </si>
  <si>
    <t>k__Bacteria;p__Firmicutes;c__Clostridia;o__Clostridiales;f__Clostridiaceae;g__Clostridium;Other</t>
  </si>
  <si>
    <t>k__Bacteria;p__Firmicutes;c__Clostridia;o__Clostridiales;f__Clostridiaceae;g__Clostridium;s__bowmanii</t>
  </si>
  <si>
    <t>k__Bacteria;p__Firmicutes;c__Clostridia;o__Clostridiales;f__Clostridiaceae;g__Clostridium;s__butyricum</t>
  </si>
  <si>
    <t>k__Bacteria;p__Firmicutes;c__Clostridia;o__Clostridiales;f__Clostridiaceae;g__Clostridium;s__gasigenes</t>
  </si>
  <si>
    <t>k__Bacteria;p__Nitrospirae;c__Nitrospira;o__Nitrospirales;f__Nitrospiraceae;g__Nitrospira;Other</t>
  </si>
  <si>
    <t>k__Bacteria;p__Nitrospirae;c__Nitrospira;o__Nitrospirales;f__Nitrospiraceae;g__Nitrospira;s__</t>
  </si>
  <si>
    <t>k__Bacteria;p__Nitrospirae;c__Nitrospira;o__Nitrospirales;f__[Thermodesulfovibrionaceae];g__GOUTA19;s__</t>
  </si>
  <si>
    <t>k__Bacteria;p__Nitrospirae;c__Nitrospira;o__Nitrospirales;f__[Thermodesulfovibrionaceae];g__LCP-6;s__</t>
  </si>
  <si>
    <t>k__Bacteria;p__Proteobacteria;c__Alphaproteobacteria;o__Sphingomonadales;f__Sphingomonadaceae;g__Novosphingobium;s__nitrogenifigens</t>
  </si>
  <si>
    <t>k__Bacteria;p__Proteobacteria;c__Betaproteobacteria;o__Nitrosomonadales;f__Nitrosomonadaceae;g__Nitrosomonas;Other</t>
  </si>
  <si>
    <t>k__Bacteria;p__Proteobacteria;c__Betaproteobacteria;o__Nitrosomonadales;f__Nitrosomonadaceae;g__Nitrosomonas;s__oligotropha</t>
  </si>
  <si>
    <t>k__Bacteria;p__Proteobacteria;c__Gammaproteobacteria;o__Aeromonadales;f__Aeromonadaceae;g__Aeromonas;Other</t>
  </si>
  <si>
    <t>k__Bacteria;p__Proteobacteria;c__Gammaproteobacteria;o__Aeromonadales;f__Aeromonadaceae;g__Aeromonas;s__caviae</t>
  </si>
  <si>
    <t>k__Bacteria;p__Proteobacteria;c__Gammaproteobacteria;o__Legionellales;f__Legionellaceae;g__Legionella;Other</t>
  </si>
  <si>
    <t>k__Bacteria;p__Proteobacteria;c__Gammaproteobacteria;o__Legionellales;f__Legionellaceae;g__Legionella;s__</t>
  </si>
  <si>
    <t>k__Bacteria;p__Proteobacteria;c__Gammaproteobacteria;o__Legionellales;f__Legionellaceae;g__Legionella;s__pneumophila</t>
  </si>
  <si>
    <t>SAND1 TOP a</t>
  </si>
  <si>
    <t>SAND1 TOP b</t>
  </si>
  <si>
    <t>SAND1 BOT a</t>
  </si>
  <si>
    <t>SAND1 BOT b</t>
  </si>
  <si>
    <t>SAND2 TOP a</t>
  </si>
  <si>
    <t>SAND2 TOP b</t>
  </si>
  <si>
    <t>SAND2 BOT a</t>
  </si>
  <si>
    <t>SAND2 BOT b</t>
  </si>
  <si>
    <t>GAC1 TOP a</t>
  </si>
  <si>
    <t>GAC1 TOP b</t>
  </si>
  <si>
    <t>GAC1 BOT a</t>
  </si>
  <si>
    <t>GAC2 TOP a</t>
  </si>
  <si>
    <t>GAC2 TOP b</t>
  </si>
  <si>
    <t>GAC2 BOT a</t>
  </si>
  <si>
    <t>GAC2 BOT b</t>
  </si>
  <si>
    <t>IN1</t>
  </si>
  <si>
    <t>IN2</t>
  </si>
  <si>
    <t>IN3</t>
  </si>
  <si>
    <t>IN4</t>
  </si>
  <si>
    <t>IN5</t>
  </si>
  <si>
    <t>SAND1</t>
  </si>
  <si>
    <t>SAND2</t>
  </si>
  <si>
    <t>GAC1</t>
  </si>
  <si>
    <t>GAC2</t>
  </si>
  <si>
    <t>Mycobacterium;Other</t>
  </si>
  <si>
    <t>Mycobacterium;s__</t>
  </si>
  <si>
    <t>Mycobacterium;s__celatum</t>
  </si>
  <si>
    <t>Mycobacterium;s__vaccae</t>
  </si>
  <si>
    <t>Clostridiaceae;Other;Other</t>
  </si>
  <si>
    <t>Clostridium;Other</t>
  </si>
  <si>
    <t>Clostridium;s__bowmanii</t>
  </si>
  <si>
    <t>Clostridium;s__butyricum</t>
  </si>
  <si>
    <t>Clostridium;s__gasigenes</t>
  </si>
  <si>
    <t>Legionella;Other</t>
  </si>
  <si>
    <t>Legionella;s__</t>
  </si>
  <si>
    <t>Legionella;s__pneumophila</t>
  </si>
  <si>
    <t>Nitrospira;Other</t>
  </si>
  <si>
    <t>Nitrospira;s__</t>
  </si>
  <si>
    <t>GOUTA19;s__</t>
  </si>
  <si>
    <t>LCP-6;s__</t>
  </si>
  <si>
    <t>nitrogenifigens</t>
  </si>
  <si>
    <t>Nitrosomonas;Other</t>
  </si>
  <si>
    <t>Nitrosomonas;s__oligotropha</t>
  </si>
  <si>
    <t>Aeromonas;Other</t>
  </si>
  <si>
    <t>Aeromonas;s__caviae</t>
  </si>
  <si>
    <t>k__Bacteria;p__Proteobacteria;c__Gammaproteobacteria;o__Enterobacteriales;f__Enterobacteriaceae;Other;Other</t>
  </si>
  <si>
    <t>k__Bacteria;p__Proteobacteria;c__Gammaproteobacteria;o__Enterobacteriales;f__Enterobacteriaceae;g__Escherichia;s__coli</t>
  </si>
  <si>
    <t>Enterobacteriaceae;Other;Other</t>
  </si>
  <si>
    <t>Escherichia;s__coli</t>
  </si>
  <si>
    <t>SAND TOP</t>
  </si>
  <si>
    <t>SAND BOT</t>
  </si>
  <si>
    <t>GAC TOP</t>
  </si>
  <si>
    <t>GAC BOT</t>
  </si>
  <si>
    <t xml:space="preserve">Mycobacterium </t>
  </si>
  <si>
    <t>Clostridium</t>
  </si>
  <si>
    <t>Legionella</t>
  </si>
  <si>
    <t>Aeromonas</t>
  </si>
  <si>
    <t>Enterobacter</t>
  </si>
  <si>
    <t>cells/ML</t>
  </si>
  <si>
    <t>IN</t>
  </si>
  <si>
    <t>SAND</t>
  </si>
  <si>
    <t>GAC</t>
  </si>
  <si>
    <t xml:space="preserve">Legionella </t>
  </si>
  <si>
    <t>Enterobacteriaceae</t>
  </si>
  <si>
    <t>ND</t>
  </si>
  <si>
    <t>cells/cm3</t>
  </si>
  <si>
    <t>k__Bacteria;p__Bacteroidetes;c__Flavobacteriia;o__Flavobacteriales;f__Flavobacteriaceae;g__Flavobacterium;Other</t>
  </si>
  <si>
    <t>k__Bacteria;p__Bacteroidetes;c__Flavobacteriia;o__Flavobacteriales;f__Flavobacteriaceae;g__Flavobacterium;s__</t>
  </si>
  <si>
    <t>k__Bacteria;p__Bacteroidetes;c__Flavobacteriia;o__Flavobacteriales;f__Flavobacteriaceae;g__Flavobacterium;s__columnare</t>
  </si>
  <si>
    <t>k__Bacteria;p__Bacteroidetes;c__Flavobacteriia;o__Flavobacteriales;f__Flavobacteriaceae;g__Flavobacterium;s__frigidarium</t>
  </si>
  <si>
    <t>k__Bacteria;p__Bacteroidetes;c__Flavobacteriia;o__Flavobacteriales;f__Flavobacteriaceae;g__Flavobacterium;s__gelidilacus</t>
  </si>
  <si>
    <t>k__Bacteria;p__Bacteroidetes;c__Flavobacteriia;o__Flavobacteriales;f__Flavobacteriaceae;g__Flavobacterium;s__succinicans</t>
  </si>
  <si>
    <t xml:space="preserve">Flavobacterium </t>
  </si>
  <si>
    <t>Cells Conc</t>
  </si>
  <si>
    <t>(cells/DWg)</t>
  </si>
  <si>
    <t>A</t>
  </si>
  <si>
    <t>cm2</t>
  </si>
  <si>
    <t>SAND1a</t>
  </si>
  <si>
    <t>SAND1b</t>
  </si>
  <si>
    <t>SAND2a</t>
  </si>
  <si>
    <t>SAND2b</t>
  </si>
  <si>
    <t>cell/cm3</t>
  </si>
  <si>
    <t>cell/m3</t>
  </si>
  <si>
    <t>TOP</t>
  </si>
  <si>
    <t>BOT</t>
  </si>
  <si>
    <t>GAC1a</t>
  </si>
  <si>
    <t>GAC1b</t>
  </si>
  <si>
    <t>GAC2a</t>
  </si>
  <si>
    <t>GAC1 BOT b</t>
  </si>
  <si>
    <t>Average</t>
  </si>
  <si>
    <t>St.Dev</t>
  </si>
  <si>
    <t>G</t>
  </si>
  <si>
    <t>L</t>
  </si>
  <si>
    <t>CM</t>
  </si>
  <si>
    <t>CM2</t>
  </si>
  <si>
    <t>(cell/cm3)</t>
  </si>
  <si>
    <t>(cell/m3)</t>
  </si>
  <si>
    <t>cells TOT</t>
  </si>
  <si>
    <r>
      <t>T</t>
    </r>
    <r>
      <rPr>
        <vertAlign val="subscript"/>
        <sz val="11"/>
        <color theme="1"/>
        <rFont val="Calibri"/>
        <family val="2"/>
        <scheme val="minor"/>
      </rPr>
      <t>ecb</t>
    </r>
  </si>
  <si>
    <t>h</t>
  </si>
  <si>
    <t>Min</t>
  </si>
  <si>
    <t>C</t>
  </si>
  <si>
    <t>cells/mL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</si>
</sst>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-;\-* #,##0.00_-;_-* &quot;-&quot;??_-;_-@_-"/>
    <numFmt numFmtId="165" formatCode="_-* #,##0_-;\-* #,##0_-;_-* &quot;-&quot;??_-;_-@_-"/>
    <numFmt numFmtId="166" formatCode="0.E+00"/>
    <numFmt numFmtId="167" formatCode="_-* #,##0.00000_-;\-* #,##0.00000_-;_-* &quot;-&quot;??_-;_-@_-"/>
    <numFmt numFmtId="168" formatCode="_(* #,##0_);_(* \(#,##0\);_(* &quot;-&quot;??_);_(@_)"/>
    <numFmt numFmtId="169" formatCode="0.00.E+00"/>
    <numFmt numFmtId="170" formatCode="0.000.E+00"/>
    <numFmt numFmtId="171" formatCode="0.0000"/>
    <numFmt numFmtId="172" formatCode="0.0"/>
    <numFmt numFmtId="173" formatCode="0.0%"/>
    <numFmt numFmtId="174" formatCode="0.0E+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11" fontId="0" fillId="0" borderId="0" xfId="0" applyNumberFormat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0" xfId="0" applyFill="1"/>
    <xf numFmtId="0" fontId="18" fillId="0" borderId="11" xfId="0" applyFont="1" applyFill="1" applyBorder="1" applyAlignment="1">
      <alignment horizontal="left"/>
    </xf>
    <xf numFmtId="11" fontId="0" fillId="0" borderId="0" xfId="0" applyNumberFormat="1" applyFill="1"/>
    <xf numFmtId="165" fontId="0" fillId="0" borderId="0" xfId="42" applyNumberFormat="1" applyFont="1" applyFill="1"/>
    <xf numFmtId="165" fontId="0" fillId="0" borderId="0" xfId="42" applyNumberFormat="1" applyFont="1"/>
    <xf numFmtId="0" fontId="0" fillId="0" borderId="0" xfId="0" applyAlignment="1">
      <alignment textRotation="90"/>
    </xf>
    <xf numFmtId="1" fontId="0" fillId="0" borderId="0" xfId="0" applyNumberFormat="1"/>
    <xf numFmtId="0" fontId="0" fillId="0" borderId="15" xfId="0" applyBorder="1"/>
    <xf numFmtId="0" fontId="0" fillId="0" borderId="10" xfId="0" applyBorder="1"/>
    <xf numFmtId="0" fontId="0" fillId="0" borderId="16" xfId="0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1" fontId="0" fillId="0" borderId="0" xfId="0" applyNumberFormat="1" applyBorder="1"/>
    <xf numFmtId="1" fontId="0" fillId="0" borderId="21" xfId="0" applyNumberFormat="1" applyBorder="1"/>
    <xf numFmtId="1" fontId="0" fillId="0" borderId="22" xfId="0" applyNumberFormat="1" applyBorder="1"/>
    <xf numFmtId="1" fontId="0" fillId="0" borderId="23" xfId="0" applyNumberFormat="1" applyBorder="1"/>
    <xf numFmtId="1" fontId="0" fillId="0" borderId="24" xfId="0" applyNumberFormat="1" applyBorder="1"/>
    <xf numFmtId="1" fontId="0" fillId="0" borderId="25" xfId="0" applyNumberFormat="1" applyBorder="1"/>
    <xf numFmtId="1" fontId="0" fillId="0" borderId="26" xfId="0" applyNumberFormat="1" applyBorder="1"/>
    <xf numFmtId="1" fontId="0" fillId="0" borderId="27" xfId="0" applyNumberFormat="1" applyBorder="1"/>
    <xf numFmtId="1" fontId="0" fillId="0" borderId="15" xfId="0" applyNumberFormat="1" applyBorder="1"/>
    <xf numFmtId="1" fontId="0" fillId="0" borderId="10" xfId="0" applyNumberFormat="1" applyBorder="1"/>
    <xf numFmtId="1" fontId="0" fillId="0" borderId="16" xfId="0" applyNumberFormat="1" applyBorder="1"/>
    <xf numFmtId="1" fontId="16" fillId="0" borderId="15" xfId="0" applyNumberFormat="1" applyFont="1" applyBorder="1"/>
    <xf numFmtId="1" fontId="16" fillId="0" borderId="16" xfId="0" applyNumberFormat="1" applyFont="1" applyBorder="1"/>
    <xf numFmtId="0" fontId="0" fillId="0" borderId="28" xfId="0" applyFont="1" applyFill="1" applyBorder="1"/>
    <xf numFmtId="1" fontId="0" fillId="0" borderId="0" xfId="0" applyNumberFormat="1" applyAlignment="1">
      <alignment textRotation="90"/>
    </xf>
    <xf numFmtId="0" fontId="0" fillId="0" borderId="29" xfId="0" applyFont="1" applyFill="1" applyBorder="1"/>
    <xf numFmtId="0" fontId="0" fillId="0" borderId="30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16" fillId="0" borderId="0" xfId="0" applyFont="1"/>
    <xf numFmtId="9" fontId="0" fillId="0" borderId="0" xfId="43" applyFont="1"/>
    <xf numFmtId="166" fontId="16" fillId="0" borderId="0" xfId="42" applyNumberFormat="1" applyFont="1" applyBorder="1"/>
    <xf numFmtId="166" fontId="0" fillId="0" borderId="0" xfId="42" applyNumberFormat="1" applyFont="1" applyBorder="1"/>
    <xf numFmtId="166" fontId="0" fillId="0" borderId="17" xfId="0" applyNumberFormat="1" applyBorder="1"/>
    <xf numFmtId="166" fontId="0" fillId="0" borderId="18" xfId="0" applyNumberFormat="1" applyBorder="1"/>
    <xf numFmtId="166" fontId="0" fillId="0" borderId="19" xfId="0" applyNumberFormat="1" applyBorder="1"/>
    <xf numFmtId="166" fontId="0" fillId="0" borderId="0" xfId="0" applyNumberFormat="1"/>
    <xf numFmtId="166" fontId="0" fillId="0" borderId="15" xfId="0" applyNumberFormat="1" applyBorder="1"/>
    <xf numFmtId="166" fontId="0" fillId="0" borderId="15" xfId="42" applyNumberFormat="1" applyFont="1" applyBorder="1"/>
    <xf numFmtId="166" fontId="0" fillId="0" borderId="0" xfId="0" applyNumberFormat="1" applyBorder="1"/>
    <xf numFmtId="166" fontId="0" fillId="0" borderId="10" xfId="0" applyNumberFormat="1" applyBorder="1"/>
    <xf numFmtId="166" fontId="0" fillId="0" borderId="20" xfId="0" applyNumberFormat="1" applyBorder="1"/>
    <xf numFmtId="166" fontId="0" fillId="0" borderId="21" xfId="0" applyNumberFormat="1" applyBorder="1"/>
    <xf numFmtId="166" fontId="0" fillId="0" borderId="10" xfId="42" applyNumberFormat="1" applyFont="1" applyBorder="1"/>
    <xf numFmtId="166" fontId="0" fillId="0" borderId="22" xfId="0" applyNumberFormat="1" applyBorder="1"/>
    <xf numFmtId="166" fontId="0" fillId="0" borderId="23" xfId="0" applyNumberFormat="1" applyBorder="1"/>
    <xf numFmtId="166" fontId="0" fillId="0" borderId="24" xfId="0" applyNumberFormat="1" applyBorder="1"/>
    <xf numFmtId="166" fontId="0" fillId="0" borderId="16" xfId="0" applyNumberFormat="1" applyBorder="1"/>
    <xf numFmtId="166" fontId="0" fillId="0" borderId="25" xfId="0" applyNumberFormat="1" applyBorder="1"/>
    <xf numFmtId="166" fontId="0" fillId="0" borderId="26" xfId="0" applyNumberFormat="1" applyBorder="1"/>
    <xf numFmtId="166" fontId="0" fillId="0" borderId="27" xfId="0" applyNumberFormat="1" applyBorder="1"/>
    <xf numFmtId="166" fontId="16" fillId="0" borderId="15" xfId="0" applyNumberFormat="1" applyFont="1" applyBorder="1"/>
    <xf numFmtId="166" fontId="16" fillId="0" borderId="15" xfId="42" applyNumberFormat="1" applyFont="1" applyBorder="1"/>
    <xf numFmtId="166" fontId="16" fillId="0" borderId="0" xfId="0" applyNumberFormat="1" applyFont="1" applyBorder="1"/>
    <xf numFmtId="166" fontId="16" fillId="0" borderId="16" xfId="0" applyNumberFormat="1" applyFont="1" applyBorder="1"/>
    <xf numFmtId="166" fontId="16" fillId="0" borderId="16" xfId="42" applyNumberFormat="1" applyFont="1" applyBorder="1"/>
    <xf numFmtId="166" fontId="0" fillId="0" borderId="16" xfId="42" applyNumberFormat="1" applyFont="1" applyBorder="1"/>
    <xf numFmtId="166" fontId="16" fillId="0" borderId="0" xfId="0" applyNumberFormat="1" applyFont="1"/>
    <xf numFmtId="0" fontId="0" fillId="0" borderId="0" xfId="0" applyFill="1" applyAlignment="1">
      <alignment textRotation="90"/>
    </xf>
    <xf numFmtId="1" fontId="16" fillId="0" borderId="0" xfId="0" applyNumberFormat="1" applyFont="1" applyBorder="1"/>
    <xf numFmtId="11" fontId="0" fillId="0" borderId="25" xfId="0" applyNumberForma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31" xfId="0" applyNumberFormat="1" applyBorder="1"/>
    <xf numFmtId="0" fontId="16" fillId="0" borderId="17" xfId="0" applyFont="1" applyBorder="1"/>
    <xf numFmtId="11" fontId="0" fillId="0" borderId="15" xfId="0" applyNumberFormat="1" applyBorder="1"/>
    <xf numFmtId="0" fontId="16" fillId="0" borderId="20" xfId="0" applyFont="1" applyBorder="1"/>
    <xf numFmtId="11" fontId="0" fillId="0" borderId="10" xfId="0" applyNumberFormat="1" applyBorder="1"/>
    <xf numFmtId="0" fontId="16" fillId="0" borderId="15" xfId="0" applyFont="1" applyBorder="1"/>
    <xf numFmtId="11" fontId="0" fillId="0" borderId="17" xfId="0" applyNumberFormat="1" applyBorder="1"/>
    <xf numFmtId="11" fontId="0" fillId="0" borderId="18" xfId="0" applyNumberFormat="1" applyBorder="1"/>
    <xf numFmtId="11" fontId="0" fillId="0" borderId="19" xfId="0" applyNumberFormat="1" applyBorder="1"/>
    <xf numFmtId="0" fontId="16" fillId="0" borderId="16" xfId="0" applyFont="1" applyBorder="1"/>
    <xf numFmtId="11" fontId="0" fillId="0" borderId="22" xfId="0" applyNumberFormat="1" applyBorder="1"/>
    <xf numFmtId="11" fontId="0" fillId="33" borderId="23" xfId="0" applyNumberFormat="1" applyFill="1" applyBorder="1"/>
    <xf numFmtId="11" fontId="0" fillId="0" borderId="23" xfId="0" applyNumberFormat="1" applyBorder="1"/>
    <xf numFmtId="11" fontId="0" fillId="0" borderId="24" xfId="0" applyNumberFormat="1" applyBorder="1"/>
    <xf numFmtId="11" fontId="0" fillId="33" borderId="16" xfId="0" applyNumberFormat="1" applyFill="1" applyBorder="1"/>
    <xf numFmtId="164" fontId="0" fillId="0" borderId="0" xfId="42" applyFont="1"/>
    <xf numFmtId="0" fontId="16" fillId="0" borderId="22" xfId="0" applyFont="1" applyBorder="1"/>
    <xf numFmtId="11" fontId="0" fillId="0" borderId="16" xfId="0" applyNumberFormat="1" applyBorder="1"/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6" fillId="0" borderId="36" xfId="0" applyFont="1" applyBorder="1"/>
    <xf numFmtId="11" fontId="0" fillId="0" borderId="27" xfId="0" applyNumberFormat="1" applyBorder="1"/>
    <xf numFmtId="0" fontId="0" fillId="0" borderId="0" xfId="0" applyBorder="1" applyAlignment="1">
      <alignment vertical="center"/>
    </xf>
    <xf numFmtId="0" fontId="1" fillId="0" borderId="0" xfId="0" applyFont="1"/>
    <xf numFmtId="1" fontId="1" fillId="0" borderId="0" xfId="0" applyNumberFormat="1" applyFont="1"/>
    <xf numFmtId="11" fontId="16" fillId="0" borderId="25" xfId="0" applyNumberFormat="1" applyFont="1" applyBorder="1"/>
    <xf numFmtId="11" fontId="16" fillId="0" borderId="27" xfId="0" applyNumberFormat="1" applyFont="1" applyBorder="1"/>
    <xf numFmtId="167" fontId="0" fillId="0" borderId="0" xfId="42" applyNumberFormat="1" applyFont="1" applyFill="1"/>
    <xf numFmtId="168" fontId="0" fillId="0" borderId="0" xfId="0" applyNumberFormat="1"/>
    <xf numFmtId="166" fontId="0" fillId="0" borderId="17" xfId="42" applyNumberFormat="1" applyFont="1" applyBorder="1"/>
    <xf numFmtId="166" fontId="0" fillId="0" borderId="18" xfId="42" applyNumberFormat="1" applyFont="1" applyBorder="1"/>
    <xf numFmtId="166" fontId="0" fillId="0" borderId="19" xfId="42" applyNumberFormat="1" applyFont="1" applyBorder="1"/>
    <xf numFmtId="166" fontId="0" fillId="0" borderId="20" xfId="42" applyNumberFormat="1" applyFont="1" applyBorder="1"/>
    <xf numFmtId="166" fontId="0" fillId="0" borderId="21" xfId="42" applyNumberFormat="1" applyFont="1" applyBorder="1"/>
    <xf numFmtId="166" fontId="0" fillId="0" borderId="22" xfId="42" applyNumberFormat="1" applyFont="1" applyBorder="1"/>
    <xf numFmtId="166" fontId="0" fillId="0" borderId="23" xfId="42" applyNumberFormat="1" applyFont="1" applyBorder="1"/>
    <xf numFmtId="166" fontId="0" fillId="0" borderId="24" xfId="42" applyNumberFormat="1" applyFont="1" applyBorder="1"/>
    <xf numFmtId="166" fontId="16" fillId="0" borderId="36" xfId="42" applyNumberFormat="1" applyFont="1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18" xfId="0" applyBorder="1"/>
    <xf numFmtId="0" fontId="0" fillId="0" borderId="23" xfId="0" applyBorder="1"/>
    <xf numFmtId="165" fontId="0" fillId="0" borderId="17" xfId="42" applyNumberFormat="1" applyFont="1" applyFill="1" applyBorder="1"/>
    <xf numFmtId="165" fontId="0" fillId="0" borderId="18" xfId="42" applyNumberFormat="1" applyFont="1" applyFill="1" applyBorder="1"/>
    <xf numFmtId="165" fontId="0" fillId="0" borderId="19" xfId="42" applyNumberFormat="1" applyFont="1" applyFill="1" applyBorder="1"/>
    <xf numFmtId="165" fontId="0" fillId="0" borderId="20" xfId="42" applyNumberFormat="1" applyFont="1" applyFill="1" applyBorder="1"/>
    <xf numFmtId="165" fontId="0" fillId="0" borderId="0" xfId="42" applyNumberFormat="1" applyFont="1" applyFill="1" applyBorder="1"/>
    <xf numFmtId="165" fontId="0" fillId="0" borderId="21" xfId="42" applyNumberFormat="1" applyFont="1" applyFill="1" applyBorder="1"/>
    <xf numFmtId="165" fontId="0" fillId="0" borderId="22" xfId="42" applyNumberFormat="1" applyFont="1" applyFill="1" applyBorder="1"/>
    <xf numFmtId="165" fontId="0" fillId="0" borderId="23" xfId="42" applyNumberFormat="1" applyFont="1" applyFill="1" applyBorder="1"/>
    <xf numFmtId="165" fontId="0" fillId="0" borderId="24" xfId="42" applyNumberFormat="1" applyFont="1" applyFill="1" applyBorder="1"/>
    <xf numFmtId="169" fontId="0" fillId="0" borderId="17" xfId="0" applyNumberFormat="1" applyBorder="1"/>
    <xf numFmtId="169" fontId="0" fillId="0" borderId="18" xfId="0" applyNumberFormat="1" applyBorder="1"/>
    <xf numFmtId="169" fontId="0" fillId="0" borderId="19" xfId="0" applyNumberFormat="1" applyBorder="1"/>
    <xf numFmtId="169" fontId="0" fillId="0" borderId="20" xfId="0" applyNumberFormat="1" applyBorder="1"/>
    <xf numFmtId="169" fontId="0" fillId="0" borderId="0" xfId="0" applyNumberFormat="1" applyBorder="1"/>
    <xf numFmtId="169" fontId="0" fillId="0" borderId="21" xfId="0" applyNumberFormat="1" applyBorder="1"/>
    <xf numFmtId="169" fontId="0" fillId="0" borderId="22" xfId="0" applyNumberFormat="1" applyBorder="1"/>
    <xf numFmtId="169" fontId="0" fillId="0" borderId="23" xfId="0" applyNumberFormat="1" applyBorder="1"/>
    <xf numFmtId="169" fontId="0" fillId="0" borderId="24" xfId="0" applyNumberFormat="1" applyBorder="1"/>
    <xf numFmtId="170" fontId="0" fillId="0" borderId="17" xfId="42" applyNumberFormat="1" applyFont="1" applyBorder="1"/>
    <xf numFmtId="170" fontId="0" fillId="0" borderId="18" xfId="42" applyNumberFormat="1" applyFont="1" applyBorder="1"/>
    <xf numFmtId="170" fontId="0" fillId="0" borderId="19" xfId="42" applyNumberFormat="1" applyFont="1" applyBorder="1"/>
    <xf numFmtId="170" fontId="0" fillId="0" borderId="20" xfId="42" applyNumberFormat="1" applyFont="1" applyBorder="1"/>
    <xf numFmtId="170" fontId="0" fillId="0" borderId="0" xfId="42" applyNumberFormat="1" applyFont="1" applyBorder="1"/>
    <xf numFmtId="170" fontId="0" fillId="0" borderId="21" xfId="42" applyNumberFormat="1" applyFont="1" applyBorder="1"/>
    <xf numFmtId="170" fontId="0" fillId="0" borderId="22" xfId="42" applyNumberFormat="1" applyFont="1" applyBorder="1"/>
    <xf numFmtId="170" fontId="0" fillId="0" borderId="23" xfId="42" applyNumberFormat="1" applyFont="1" applyBorder="1"/>
    <xf numFmtId="170" fontId="0" fillId="0" borderId="24" xfId="42" applyNumberFormat="1" applyFont="1" applyBorder="1"/>
    <xf numFmtId="171" fontId="0" fillId="0" borderId="0" xfId="0" applyNumberFormat="1"/>
    <xf numFmtId="2" fontId="0" fillId="0" borderId="0" xfId="0" applyNumberFormat="1"/>
    <xf numFmtId="172" fontId="0" fillId="0" borderId="0" xfId="0" applyNumberFormat="1"/>
    <xf numFmtId="173" fontId="0" fillId="0" borderId="0" xfId="43" applyNumberFormat="1" applyFont="1" applyFill="1"/>
    <xf numFmtId="174" fontId="0" fillId="0" borderId="0" xfId="0" applyNumberFormat="1"/>
    <xf numFmtId="0" fontId="16" fillId="0" borderId="1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72072556212372"/>
          <c:y val="0.10070472137864983"/>
          <c:w val="0.79936068012549299"/>
          <c:h val="0.717320829426431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'PathogenTOT WT'!$B$36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Sheet4!$E$62:$J$62</c:f>
                <c:numCache>
                  <c:formatCode>General</c:formatCode>
                  <c:ptCount val="6"/>
                  <c:pt idx="0">
                    <c:v>6786.2120940317409</c:v>
                  </c:pt>
                  <c:pt idx="1">
                    <c:v>0</c:v>
                  </c:pt>
                  <c:pt idx="2">
                    <c:v>384.39024381094657</c:v>
                  </c:pt>
                  <c:pt idx="3">
                    <c:v>655.54528247852033</c:v>
                  </c:pt>
                  <c:pt idx="4">
                    <c:v>245.48627949299728</c:v>
                  </c:pt>
                  <c:pt idx="5">
                    <c:v>22024.161833686594</c:v>
                  </c:pt>
                </c:numCache>
              </c:numRef>
            </c:plus>
            <c:minus>
              <c:numRef>
                <c:f>Sheet4!$E$62:$J$62</c:f>
                <c:numCache>
                  <c:formatCode>General</c:formatCode>
                  <c:ptCount val="6"/>
                  <c:pt idx="0">
                    <c:v>6786.2120940317409</c:v>
                  </c:pt>
                  <c:pt idx="1">
                    <c:v>0</c:v>
                  </c:pt>
                  <c:pt idx="2">
                    <c:v>384.39024381094657</c:v>
                  </c:pt>
                  <c:pt idx="3">
                    <c:v>655.54528247852033</c:v>
                  </c:pt>
                  <c:pt idx="4">
                    <c:v>245.48627949299728</c:v>
                  </c:pt>
                  <c:pt idx="5">
                    <c:v>22024.161833686594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'PathogenTOT WT'!$C$35:$H$35</c:f>
              <c:strCache>
                <c:ptCount val="6"/>
                <c:pt idx="0">
                  <c:v>Mycobacterium </c:v>
                </c:pt>
                <c:pt idx="1">
                  <c:v>Aeromonas</c:v>
                </c:pt>
                <c:pt idx="2">
                  <c:v>Clostridium</c:v>
                </c:pt>
                <c:pt idx="3">
                  <c:v>Legionella </c:v>
                </c:pt>
                <c:pt idx="4">
                  <c:v>Enterobacteriaceae</c:v>
                </c:pt>
                <c:pt idx="5">
                  <c:v>Flavobacterium </c:v>
                </c:pt>
              </c:strCache>
            </c:strRef>
          </c:cat>
          <c:val>
            <c:numRef>
              <c:f>Sheet4!$E$61:$J$61</c:f>
              <c:numCache>
                <c:formatCode>_-* #,##0_-;\-* #,##0_-;_-* "-"??_-;_-@_-</c:formatCode>
                <c:ptCount val="6"/>
                <c:pt idx="0">
                  <c:v>102512.22808944373</c:v>
                </c:pt>
                <c:pt idx="1">
                  <c:v>0</c:v>
                </c:pt>
                <c:pt idx="2">
                  <c:v>4248.9467866134364</c:v>
                </c:pt>
                <c:pt idx="3">
                  <c:v>3554.0910931632002</c:v>
                </c:pt>
                <c:pt idx="4">
                  <c:v>1299.5740700892454</c:v>
                </c:pt>
                <c:pt idx="5" formatCode="0">
                  <c:v>1062465.495904576</c:v>
                </c:pt>
              </c:numCache>
            </c:numRef>
          </c:val>
        </c:ser>
        <c:ser>
          <c:idx val="1"/>
          <c:order val="1"/>
          <c:tx>
            <c:strRef>
              <c:f>Sheet4!$D$63</c:f>
              <c:strCache>
                <c:ptCount val="1"/>
                <c:pt idx="0">
                  <c:v>SAND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Sheet4!$E$64:$J$64</c:f>
                <c:numCache>
                  <c:formatCode>General</c:formatCode>
                  <c:ptCount val="6"/>
                  <c:pt idx="0">
                    <c:v>3598.8996912660364</c:v>
                  </c:pt>
                  <c:pt idx="1">
                    <c:v>0</c:v>
                  </c:pt>
                  <c:pt idx="2">
                    <c:v>61.23977870838506</c:v>
                  </c:pt>
                  <c:pt idx="3">
                    <c:v>764.61711056605964</c:v>
                  </c:pt>
                  <c:pt idx="4">
                    <c:v>276.05566891358177</c:v>
                  </c:pt>
                  <c:pt idx="5">
                    <c:v>1133.0767845224375</c:v>
                  </c:pt>
                </c:numCache>
              </c:numRef>
            </c:plus>
            <c:minus>
              <c:numRef>
                <c:f>Sheet4!$E$64:$J$64</c:f>
                <c:numCache>
                  <c:formatCode>General</c:formatCode>
                  <c:ptCount val="6"/>
                  <c:pt idx="0">
                    <c:v>3598.8996912660364</c:v>
                  </c:pt>
                  <c:pt idx="1">
                    <c:v>0</c:v>
                  </c:pt>
                  <c:pt idx="2">
                    <c:v>61.23977870838506</c:v>
                  </c:pt>
                  <c:pt idx="3">
                    <c:v>764.61711056605964</c:v>
                  </c:pt>
                  <c:pt idx="4">
                    <c:v>276.05566891358177</c:v>
                  </c:pt>
                  <c:pt idx="5">
                    <c:v>1133.0767845224375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'PathogenTOT WT'!$C$35:$H$35</c:f>
              <c:strCache>
                <c:ptCount val="6"/>
                <c:pt idx="0">
                  <c:v>Mycobacterium </c:v>
                </c:pt>
                <c:pt idx="1">
                  <c:v>Aeromonas</c:v>
                </c:pt>
                <c:pt idx="2">
                  <c:v>Clostridium</c:v>
                </c:pt>
                <c:pt idx="3">
                  <c:v>Legionella </c:v>
                </c:pt>
                <c:pt idx="4">
                  <c:v>Enterobacteriaceae</c:v>
                </c:pt>
                <c:pt idx="5">
                  <c:v>Flavobacterium </c:v>
                </c:pt>
              </c:strCache>
            </c:strRef>
          </c:cat>
          <c:val>
            <c:numRef>
              <c:f>Sheet4!$E$63:$J$63</c:f>
              <c:numCache>
                <c:formatCode>_-* #,##0_-;\-* #,##0_-;_-* "-"??_-;_-@_-</c:formatCode>
                <c:ptCount val="6"/>
                <c:pt idx="0">
                  <c:v>41495.170837420621</c:v>
                </c:pt>
                <c:pt idx="1">
                  <c:v>0</c:v>
                </c:pt>
                <c:pt idx="2">
                  <c:v>96.777902252458532</c:v>
                </c:pt>
                <c:pt idx="3">
                  <c:v>8086.322794808998</c:v>
                </c:pt>
                <c:pt idx="4">
                  <c:v>301.27931935244203</c:v>
                </c:pt>
                <c:pt idx="5" formatCode="0">
                  <c:v>9679.9841656803837</c:v>
                </c:pt>
              </c:numCache>
            </c:numRef>
          </c:val>
        </c:ser>
        <c:ser>
          <c:idx val="2"/>
          <c:order val="2"/>
          <c:tx>
            <c:strRef>
              <c:f>Sheet4!$D$65</c:f>
              <c:strCache>
                <c:ptCount val="1"/>
                <c:pt idx="0">
                  <c:v>GAC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Sheet4!$E$66:$J$66</c:f>
                <c:numCache>
                  <c:formatCode>General</c:formatCode>
                  <c:ptCount val="6"/>
                  <c:pt idx="0">
                    <c:v>7403.4777692161533</c:v>
                  </c:pt>
                  <c:pt idx="1">
                    <c:v>0</c:v>
                  </c:pt>
                  <c:pt idx="2">
                    <c:v>104.99134728075973</c:v>
                  </c:pt>
                  <c:pt idx="3">
                    <c:v>461.03408958816726</c:v>
                  </c:pt>
                  <c:pt idx="4">
                    <c:v>22.329539487159547</c:v>
                  </c:pt>
                  <c:pt idx="5">
                    <c:v>18654.892403228936</c:v>
                  </c:pt>
                </c:numCache>
              </c:numRef>
            </c:plus>
            <c:minus>
              <c:numRef>
                <c:f>Sheet4!$E$66:$J$66</c:f>
                <c:numCache>
                  <c:formatCode>General</c:formatCode>
                  <c:ptCount val="6"/>
                  <c:pt idx="0">
                    <c:v>7403.4777692161533</c:v>
                  </c:pt>
                  <c:pt idx="1">
                    <c:v>0</c:v>
                  </c:pt>
                  <c:pt idx="2">
                    <c:v>104.99134728075973</c:v>
                  </c:pt>
                  <c:pt idx="3">
                    <c:v>461.03408958816726</c:v>
                  </c:pt>
                  <c:pt idx="4">
                    <c:v>22.329539487159547</c:v>
                  </c:pt>
                  <c:pt idx="5">
                    <c:v>18654.892403228936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'PathogenTOT WT'!$C$35:$H$35</c:f>
              <c:strCache>
                <c:ptCount val="6"/>
                <c:pt idx="0">
                  <c:v>Mycobacterium </c:v>
                </c:pt>
                <c:pt idx="1">
                  <c:v>Aeromonas</c:v>
                </c:pt>
                <c:pt idx="2">
                  <c:v>Clostridium</c:v>
                </c:pt>
                <c:pt idx="3">
                  <c:v>Legionella </c:v>
                </c:pt>
                <c:pt idx="4">
                  <c:v>Enterobacteriaceae</c:v>
                </c:pt>
                <c:pt idx="5">
                  <c:v>Flavobacterium </c:v>
                </c:pt>
              </c:strCache>
            </c:strRef>
          </c:cat>
          <c:val>
            <c:numRef>
              <c:f>Sheet4!$E$65:$J$65</c:f>
              <c:numCache>
                <c:formatCode>_-* #,##0_-;\-* #,##0_-;_-* "-"??_-;_-@_-</c:formatCode>
                <c:ptCount val="6"/>
                <c:pt idx="0">
                  <c:v>65099.589918610698</c:v>
                </c:pt>
                <c:pt idx="1">
                  <c:v>0</c:v>
                </c:pt>
                <c:pt idx="2">
                  <c:v>366.11753883314424</c:v>
                </c:pt>
                <c:pt idx="3">
                  <c:v>6424.9612503936205</c:v>
                </c:pt>
                <c:pt idx="4">
                  <c:v>45.597372931202166</c:v>
                </c:pt>
                <c:pt idx="5" formatCode="0">
                  <c:v>49846.300829963664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174504"/>
        <c:axId val="384178424"/>
      </c:barChart>
      <c:catAx>
        <c:axId val="384174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>
                    <a:solidFill>
                      <a:schemeClr val="tx1"/>
                    </a:solidFill>
                  </a:rPr>
                  <a:t>Pathogens</a:t>
                </a:r>
              </a:p>
            </c:rich>
          </c:tx>
          <c:layout>
            <c:manualLayout>
              <c:xMode val="edge"/>
              <c:yMode val="edge"/>
              <c:x val="0.46711903246362357"/>
              <c:y val="0.920432755995889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78424"/>
        <c:crosses val="autoZero"/>
        <c:auto val="1"/>
        <c:lblAlgn val="ctr"/>
        <c:lblOffset val="100"/>
        <c:noMultiLvlLbl val="0"/>
      </c:catAx>
      <c:valAx>
        <c:axId val="384178424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>
                    <a:solidFill>
                      <a:schemeClr val="tx1"/>
                    </a:solidFill>
                  </a:rPr>
                  <a:t>cells/ml</a:t>
                </a:r>
              </a:p>
            </c:rich>
          </c:tx>
          <c:layout>
            <c:manualLayout>
              <c:xMode val="edge"/>
              <c:yMode val="edge"/>
              <c:x val="1.4383651950533339E-2"/>
              <c:y val="0.401623937969798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74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229042028729879"/>
          <c:y val="4.9505467166507999E-2"/>
          <c:w val="0.36146960793465727"/>
          <c:h val="0.13055900688285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54724144732726"/>
          <c:y val="0.11288426096611268"/>
          <c:w val="0.79936068012549299"/>
          <c:h val="0.717320829426431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'PathogenTOT WT'!$B$36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'PathogenTOT WT'!$C$37:$H$37</c:f>
                <c:numCache>
                  <c:formatCode>General</c:formatCode>
                  <c:ptCount val="6"/>
                  <c:pt idx="0">
                    <c:v>6786.2120940317409</c:v>
                  </c:pt>
                  <c:pt idx="1">
                    <c:v>167.64054705025225</c:v>
                  </c:pt>
                  <c:pt idx="2">
                    <c:v>327.28380874096086</c:v>
                  </c:pt>
                  <c:pt idx="3">
                    <c:v>655.54528247852033</c:v>
                  </c:pt>
                  <c:pt idx="4">
                    <c:v>268.91674567266494</c:v>
                  </c:pt>
                  <c:pt idx="5">
                    <c:v>24126.260492908976</c:v>
                  </c:pt>
                </c:numCache>
              </c:numRef>
            </c:plus>
            <c:minus>
              <c:numRef>
                <c:f>'PathogenTOT WT'!$C$37:$H$37</c:f>
                <c:numCache>
                  <c:formatCode>General</c:formatCode>
                  <c:ptCount val="6"/>
                  <c:pt idx="0">
                    <c:v>6786.2120940317409</c:v>
                  </c:pt>
                  <c:pt idx="1">
                    <c:v>167.64054705025225</c:v>
                  </c:pt>
                  <c:pt idx="2">
                    <c:v>327.28380874096086</c:v>
                  </c:pt>
                  <c:pt idx="3">
                    <c:v>655.54528247852033</c:v>
                  </c:pt>
                  <c:pt idx="4">
                    <c:v>268.91674567266494</c:v>
                  </c:pt>
                  <c:pt idx="5">
                    <c:v>24126.260492908976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'PathogenTOT WT'!$C$35:$H$35</c:f>
              <c:strCache>
                <c:ptCount val="6"/>
                <c:pt idx="0">
                  <c:v>Mycobacterium </c:v>
                </c:pt>
                <c:pt idx="1">
                  <c:v>Aeromonas</c:v>
                </c:pt>
                <c:pt idx="2">
                  <c:v>Clostridium</c:v>
                </c:pt>
                <c:pt idx="3">
                  <c:v>Legionella </c:v>
                </c:pt>
                <c:pt idx="4">
                  <c:v>Enterobacteriaceae</c:v>
                </c:pt>
                <c:pt idx="5">
                  <c:v>Flavobacterium </c:v>
                </c:pt>
              </c:strCache>
            </c:strRef>
          </c:cat>
          <c:val>
            <c:numRef>
              <c:f>'PathogenTOT WT'!$C$36:$H$36</c:f>
              <c:numCache>
                <c:formatCode>_-* #,##0_-;\-* #,##0_-;_-* "-"??_-;_-@_-</c:formatCode>
                <c:ptCount val="6"/>
                <c:pt idx="0">
                  <c:v>102512.22808944373</c:v>
                </c:pt>
                <c:pt idx="1">
                  <c:v>343.38785897422542</c:v>
                </c:pt>
                <c:pt idx="2">
                  <c:v>3159.0676164487218</c:v>
                </c:pt>
                <c:pt idx="3">
                  <c:v>3554.0910931632002</c:v>
                </c:pt>
                <c:pt idx="4">
                  <c:v>1299.5740700892454</c:v>
                </c:pt>
                <c:pt idx="5" formatCode="0">
                  <c:v>1062465.495904576</c:v>
                </c:pt>
              </c:numCache>
            </c:numRef>
          </c:val>
        </c:ser>
        <c:ser>
          <c:idx val="1"/>
          <c:order val="1"/>
          <c:tx>
            <c:strRef>
              <c:f>'PathogenTOT WT'!$B$38</c:f>
              <c:strCache>
                <c:ptCount val="1"/>
                <c:pt idx="0">
                  <c:v>SAND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'PathogenTOT WT'!$C$39:$H$39</c:f>
                <c:numCache>
                  <c:formatCode>General</c:formatCode>
                  <c:ptCount val="6"/>
                  <c:pt idx="0">
                    <c:v>3598.8996912660364</c:v>
                  </c:pt>
                  <c:pt idx="1">
                    <c:v>0</c:v>
                  </c:pt>
                  <c:pt idx="2">
                    <c:v>23.010324414942549</c:v>
                  </c:pt>
                  <c:pt idx="3">
                    <c:v>524.47411736248182</c:v>
                  </c:pt>
                  <c:pt idx="4">
                    <c:v>255.57788693635069</c:v>
                  </c:pt>
                  <c:pt idx="5">
                    <c:v>1010.5094472718214</c:v>
                  </c:pt>
                </c:numCache>
              </c:numRef>
            </c:plus>
            <c:minus>
              <c:numRef>
                <c:f>'PathogenTOT WT'!$C$39:$H$39</c:f>
                <c:numCache>
                  <c:formatCode>General</c:formatCode>
                  <c:ptCount val="6"/>
                  <c:pt idx="0">
                    <c:v>3598.8996912660364</c:v>
                  </c:pt>
                  <c:pt idx="1">
                    <c:v>0</c:v>
                  </c:pt>
                  <c:pt idx="2">
                    <c:v>23.010324414942549</c:v>
                  </c:pt>
                  <c:pt idx="3">
                    <c:v>524.47411736248182</c:v>
                  </c:pt>
                  <c:pt idx="4">
                    <c:v>255.57788693635069</c:v>
                  </c:pt>
                  <c:pt idx="5">
                    <c:v>1010.5094472718214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'PathogenTOT WT'!$C$35:$H$35</c:f>
              <c:strCache>
                <c:ptCount val="6"/>
                <c:pt idx="0">
                  <c:v>Mycobacterium </c:v>
                </c:pt>
                <c:pt idx="1">
                  <c:v>Aeromonas</c:v>
                </c:pt>
                <c:pt idx="2">
                  <c:v>Clostridium</c:v>
                </c:pt>
                <c:pt idx="3">
                  <c:v>Legionella </c:v>
                </c:pt>
                <c:pt idx="4">
                  <c:v>Enterobacteriaceae</c:v>
                </c:pt>
                <c:pt idx="5">
                  <c:v>Flavobacterium </c:v>
                </c:pt>
              </c:strCache>
            </c:strRef>
          </c:cat>
          <c:val>
            <c:numRef>
              <c:f>'PathogenTOT WT'!$C$38:$H$38</c:f>
              <c:numCache>
                <c:formatCode>_-* #,##0_-;\-* #,##0_-;_-* "-"??_-;_-@_-</c:formatCode>
                <c:ptCount val="6"/>
                <c:pt idx="0">
                  <c:v>41495.170837420621</c:v>
                </c:pt>
                <c:pt idx="1">
                  <c:v>0</c:v>
                </c:pt>
                <c:pt idx="2">
                  <c:v>96.777902252458532</c:v>
                </c:pt>
                <c:pt idx="3">
                  <c:v>8638.2635855914068</c:v>
                </c:pt>
                <c:pt idx="4">
                  <c:v>113.87287916762442</c:v>
                </c:pt>
                <c:pt idx="5" formatCode="0">
                  <c:v>8849.4412192714863</c:v>
                </c:pt>
              </c:numCache>
            </c:numRef>
          </c:val>
        </c:ser>
        <c:ser>
          <c:idx val="2"/>
          <c:order val="2"/>
          <c:tx>
            <c:strRef>
              <c:f>'PathogenTOT WT'!$B$40</c:f>
              <c:strCache>
                <c:ptCount val="1"/>
                <c:pt idx="0">
                  <c:v>GAC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'PathogenTOT WT'!$C$41:$H$41</c:f>
                <c:numCache>
                  <c:formatCode>General</c:formatCode>
                  <c:ptCount val="6"/>
                  <c:pt idx="0">
                    <c:v>7403.4777692161533</c:v>
                  </c:pt>
                  <c:pt idx="1">
                    <c:v>0</c:v>
                  </c:pt>
                  <c:pt idx="2">
                    <c:v>43.940790042482803</c:v>
                  </c:pt>
                  <c:pt idx="3">
                    <c:v>461.03408958816726</c:v>
                  </c:pt>
                  <c:pt idx="4">
                    <c:v>22.329539487159547</c:v>
                  </c:pt>
                  <c:pt idx="5">
                    <c:v>15427.790240113614</c:v>
                  </c:pt>
                </c:numCache>
              </c:numRef>
            </c:plus>
            <c:minus>
              <c:numRef>
                <c:f>'PathogenTOT WT'!$C$41:$H$41</c:f>
                <c:numCache>
                  <c:formatCode>General</c:formatCode>
                  <c:ptCount val="6"/>
                  <c:pt idx="0">
                    <c:v>7403.4777692161533</c:v>
                  </c:pt>
                  <c:pt idx="1">
                    <c:v>0</c:v>
                  </c:pt>
                  <c:pt idx="2">
                    <c:v>43.940790042482803</c:v>
                  </c:pt>
                  <c:pt idx="3">
                    <c:v>461.03408958816726</c:v>
                  </c:pt>
                  <c:pt idx="4">
                    <c:v>22.329539487159547</c:v>
                  </c:pt>
                  <c:pt idx="5">
                    <c:v>15427.790240113614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'PathogenTOT WT'!$C$35:$H$35</c:f>
              <c:strCache>
                <c:ptCount val="6"/>
                <c:pt idx="0">
                  <c:v>Mycobacterium </c:v>
                </c:pt>
                <c:pt idx="1">
                  <c:v>Aeromonas</c:v>
                </c:pt>
                <c:pt idx="2">
                  <c:v>Clostridium</c:v>
                </c:pt>
                <c:pt idx="3">
                  <c:v>Legionella </c:v>
                </c:pt>
                <c:pt idx="4">
                  <c:v>Enterobacteriaceae</c:v>
                </c:pt>
                <c:pt idx="5">
                  <c:v>Flavobacterium </c:v>
                </c:pt>
              </c:strCache>
            </c:strRef>
          </c:cat>
          <c:val>
            <c:numRef>
              <c:f>'PathogenTOT WT'!$C$40:$H$40</c:f>
              <c:numCache>
                <c:formatCode>_-* #,##0_-;\-* #,##0_-;_-* "-"??_-;_-@_-</c:formatCode>
                <c:ptCount val="6"/>
                <c:pt idx="0">
                  <c:v>65099.589918610698</c:v>
                </c:pt>
                <c:pt idx="1">
                  <c:v>0</c:v>
                </c:pt>
                <c:pt idx="2">
                  <c:v>326.65519547997235</c:v>
                </c:pt>
                <c:pt idx="3">
                  <c:v>6424.9612503936205</c:v>
                </c:pt>
                <c:pt idx="4">
                  <c:v>45.597372931202166</c:v>
                </c:pt>
                <c:pt idx="5" formatCode="0">
                  <c:v>40155.268684297007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968048"/>
        <c:axId val="385968832"/>
      </c:barChart>
      <c:catAx>
        <c:axId val="385968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>
                    <a:solidFill>
                      <a:schemeClr val="tx1"/>
                    </a:solidFill>
                  </a:rPr>
                  <a:t>Pathogens</a:t>
                </a:r>
              </a:p>
            </c:rich>
          </c:tx>
          <c:layout>
            <c:manualLayout>
              <c:xMode val="edge"/>
              <c:yMode val="edge"/>
              <c:x val="0.46711903246362357"/>
              <c:y val="0.920432755995889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968832"/>
        <c:crosses val="autoZero"/>
        <c:auto val="1"/>
        <c:lblAlgn val="ctr"/>
        <c:lblOffset val="100"/>
        <c:noMultiLvlLbl val="0"/>
      </c:catAx>
      <c:valAx>
        <c:axId val="385968832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800">
                    <a:solidFill>
                      <a:schemeClr val="tx1"/>
                    </a:solidFill>
                  </a:rPr>
                  <a:t>cells/ml</a:t>
                </a:r>
              </a:p>
            </c:rich>
          </c:tx>
          <c:layout>
            <c:manualLayout>
              <c:xMode val="edge"/>
              <c:yMode val="edge"/>
              <c:x val="1.4383651950533339E-2"/>
              <c:y val="0.401623937969798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96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229042028729879"/>
          <c:y val="4.9505467166507999E-2"/>
          <c:w val="0.36146960793465727"/>
          <c:h val="0.13055900688285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49511325488537"/>
          <c:y val="0.11162279051401761"/>
          <c:w val="0.78279475403909471"/>
          <c:h val="0.68387782500638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'PathogenTOT GRAIN'!$A$36</c:f>
              <c:strCache>
                <c:ptCount val="1"/>
                <c:pt idx="0">
                  <c:v>SAND TOP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('PathogenTOT GRAIN'!$B$37:$D$37,'PathogenTOT GRAIN'!$G$37)</c:f>
                <c:numCache>
                  <c:formatCode>General</c:formatCode>
                  <c:ptCount val="4"/>
                  <c:pt idx="0">
                    <c:v>31721571.708797827</c:v>
                  </c:pt>
                  <c:pt idx="1">
                    <c:v>3234515.4686047561</c:v>
                  </c:pt>
                  <c:pt idx="2">
                    <c:v>13221657.155320872</c:v>
                  </c:pt>
                  <c:pt idx="3">
                    <c:v>12778930.286661854</c:v>
                  </c:pt>
                </c:numCache>
              </c:numRef>
            </c:plus>
            <c:minus>
              <c:numRef>
                <c:f>('PathogenTOT GRAIN'!$B$37:$D$37,'PathogenTOT GRAIN'!$G$37)</c:f>
                <c:numCache>
                  <c:formatCode>General</c:formatCode>
                  <c:ptCount val="4"/>
                  <c:pt idx="0">
                    <c:v>31721571.708797827</c:v>
                  </c:pt>
                  <c:pt idx="1">
                    <c:v>3234515.4686047561</c:v>
                  </c:pt>
                  <c:pt idx="2">
                    <c:v>13221657.155320872</c:v>
                  </c:pt>
                  <c:pt idx="3">
                    <c:v>12778930.286661854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('PathogenTOT GRAIN'!$B$35:$D$35,'PathogenTOT GRAIN'!$G$35)</c:f>
              <c:strCache>
                <c:ptCount val="4"/>
                <c:pt idx="0">
                  <c:v>Mycobacterium </c:v>
                </c:pt>
                <c:pt idx="1">
                  <c:v>Clostridium</c:v>
                </c:pt>
                <c:pt idx="2">
                  <c:v>Legionella</c:v>
                </c:pt>
                <c:pt idx="3">
                  <c:v>Flavobacterium </c:v>
                </c:pt>
              </c:strCache>
            </c:strRef>
          </c:cat>
          <c:val>
            <c:numRef>
              <c:f>('PathogenTOT GRAIN'!$B$36:$D$36,'PathogenTOT GRAIN'!$G$36)</c:f>
              <c:numCache>
                <c:formatCode>0.E+00</c:formatCode>
                <c:ptCount val="4"/>
                <c:pt idx="0">
                  <c:v>112570129.58416055</c:v>
                </c:pt>
                <c:pt idx="1">
                  <c:v>4899872.9517668439</c:v>
                </c:pt>
                <c:pt idx="2">
                  <c:v>23342779.56385944</c:v>
                </c:pt>
                <c:pt idx="3">
                  <c:v>16607666.122544073</c:v>
                </c:pt>
              </c:numCache>
            </c:numRef>
          </c:val>
        </c:ser>
        <c:ser>
          <c:idx val="1"/>
          <c:order val="1"/>
          <c:tx>
            <c:strRef>
              <c:f>'PathogenTOT GRAIN'!$A$38</c:f>
              <c:strCache>
                <c:ptCount val="1"/>
                <c:pt idx="0">
                  <c:v>SAND BOT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('PathogenTOT GRAIN'!$B$39:$D$39,'PathogenTOT GRAIN'!$G$39)</c:f>
                <c:numCache>
                  <c:formatCode>General</c:formatCode>
                  <c:ptCount val="4"/>
                  <c:pt idx="0">
                    <c:v>5296277.8323132591</c:v>
                  </c:pt>
                  <c:pt idx="1">
                    <c:v>1.1E-4</c:v>
                  </c:pt>
                  <c:pt idx="2">
                    <c:v>3557075.1261358033</c:v>
                  </c:pt>
                  <c:pt idx="3">
                    <c:v>1087116.0000092261</c:v>
                  </c:pt>
                </c:numCache>
              </c:numRef>
            </c:plus>
            <c:minus>
              <c:numRef>
                <c:f>('PathogenTOT GRAIN'!$B$39:$D$39,'PathogenTOT GRAIN'!$G$39)</c:f>
                <c:numCache>
                  <c:formatCode>General</c:formatCode>
                  <c:ptCount val="4"/>
                  <c:pt idx="0">
                    <c:v>5296277.8323132591</c:v>
                  </c:pt>
                  <c:pt idx="1">
                    <c:v>1.1E-4</c:v>
                  </c:pt>
                  <c:pt idx="2">
                    <c:v>3557075.1261358033</c:v>
                  </c:pt>
                  <c:pt idx="3">
                    <c:v>1087116.0000092261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('PathogenTOT GRAIN'!$B$35:$D$35,'PathogenTOT GRAIN'!$G$35)</c:f>
              <c:strCache>
                <c:ptCount val="4"/>
                <c:pt idx="0">
                  <c:v>Mycobacterium </c:v>
                </c:pt>
                <c:pt idx="1">
                  <c:v>Clostridium</c:v>
                </c:pt>
                <c:pt idx="2">
                  <c:v>Legionella</c:v>
                </c:pt>
                <c:pt idx="3">
                  <c:v>Flavobacterium </c:v>
                </c:pt>
              </c:strCache>
            </c:strRef>
          </c:cat>
          <c:val>
            <c:numRef>
              <c:f>('PathogenTOT GRAIN'!$B$38:$D$38,'PathogenTOT GRAIN'!$G$38)</c:f>
              <c:numCache>
                <c:formatCode>0.E+00</c:formatCode>
                <c:ptCount val="4"/>
                <c:pt idx="0">
                  <c:v>27996799.310998715</c:v>
                </c:pt>
                <c:pt idx="1">
                  <c:v>1</c:v>
                </c:pt>
                <c:pt idx="2">
                  <c:v>14627152.857603166</c:v>
                </c:pt>
                <c:pt idx="3">
                  <c:v>2974824.6994178733</c:v>
                </c:pt>
              </c:numCache>
            </c:numRef>
          </c:val>
        </c:ser>
        <c:ser>
          <c:idx val="2"/>
          <c:order val="2"/>
          <c:tx>
            <c:strRef>
              <c:f>'PathogenTOT GRAIN'!$A$40</c:f>
              <c:strCache>
                <c:ptCount val="1"/>
                <c:pt idx="0">
                  <c:v>GAC TOP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('PathogenTOT GRAIN'!$B$41:$D$41,'PathogenTOT GRAIN'!$G$41)</c:f>
                <c:numCache>
                  <c:formatCode>General</c:formatCode>
                  <c:ptCount val="4"/>
                  <c:pt idx="0">
                    <c:v>3369522.8420008244</c:v>
                  </c:pt>
                  <c:pt idx="1">
                    <c:v>533461.42520111834</c:v>
                  </c:pt>
                  <c:pt idx="2">
                    <c:v>7820371.6416093893</c:v>
                  </c:pt>
                  <c:pt idx="3">
                    <c:v>11730024.094825519</c:v>
                  </c:pt>
                </c:numCache>
              </c:numRef>
            </c:plus>
            <c:minus>
              <c:numRef>
                <c:f>('PathogenTOT GRAIN'!$B$41:$D$41,'PathogenTOT GRAIN'!$G$41)</c:f>
                <c:numCache>
                  <c:formatCode>General</c:formatCode>
                  <c:ptCount val="4"/>
                  <c:pt idx="0">
                    <c:v>3369522.8420008244</c:v>
                  </c:pt>
                  <c:pt idx="1">
                    <c:v>533461.42520111834</c:v>
                  </c:pt>
                  <c:pt idx="2">
                    <c:v>7820371.6416093893</c:v>
                  </c:pt>
                  <c:pt idx="3">
                    <c:v>11730024.094825519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('PathogenTOT GRAIN'!$B$35:$D$35,'PathogenTOT GRAIN'!$G$35)</c:f>
              <c:strCache>
                <c:ptCount val="4"/>
                <c:pt idx="0">
                  <c:v>Mycobacterium </c:v>
                </c:pt>
                <c:pt idx="1">
                  <c:v>Clostridium</c:v>
                </c:pt>
                <c:pt idx="2">
                  <c:v>Legionella</c:v>
                </c:pt>
                <c:pt idx="3">
                  <c:v>Flavobacterium </c:v>
                </c:pt>
              </c:strCache>
            </c:strRef>
          </c:cat>
          <c:val>
            <c:numRef>
              <c:f>('PathogenTOT GRAIN'!$B$40:$D$40,'PathogenTOT GRAIN'!$G$40)</c:f>
              <c:numCache>
                <c:formatCode>0.E+00</c:formatCode>
                <c:ptCount val="4"/>
                <c:pt idx="0">
                  <c:v>36907212.62217591</c:v>
                </c:pt>
                <c:pt idx="1">
                  <c:v>1552673.7792887252</c:v>
                </c:pt>
                <c:pt idx="2">
                  <c:v>13050867.984034011</c:v>
                </c:pt>
                <c:pt idx="3">
                  <c:v>18682070.933794949</c:v>
                </c:pt>
              </c:numCache>
            </c:numRef>
          </c:val>
        </c:ser>
        <c:ser>
          <c:idx val="3"/>
          <c:order val="3"/>
          <c:tx>
            <c:strRef>
              <c:f>'PathogenTOT GRAIN'!$A$42</c:f>
              <c:strCache>
                <c:ptCount val="1"/>
                <c:pt idx="0">
                  <c:v>GAC BOT</c:v>
                </c:pt>
              </c:strCache>
            </c:strRef>
          </c:tx>
          <c:spPr>
            <a:pattFill prst="nar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('PathogenTOT GRAIN'!$B$43:$D$43,'PathogenTOT GRAIN'!$G$43)</c:f>
                <c:numCache>
                  <c:formatCode>General</c:formatCode>
                  <c:ptCount val="4"/>
                  <c:pt idx="0">
                    <c:v>4623133.7973020868</c:v>
                  </c:pt>
                  <c:pt idx="1">
                    <c:v>9.9999999999999995E-7</c:v>
                  </c:pt>
                  <c:pt idx="2">
                    <c:v>3205437.2665466396</c:v>
                  </c:pt>
                  <c:pt idx="3">
                    <c:v>2939105.821482908</c:v>
                  </c:pt>
                </c:numCache>
              </c:numRef>
            </c:plus>
            <c:minus>
              <c:numRef>
                <c:f>('PathogenTOT GRAIN'!$B$43:$D$43,'PathogenTOT GRAIN'!$G$43)</c:f>
                <c:numCache>
                  <c:formatCode>General</c:formatCode>
                  <c:ptCount val="4"/>
                  <c:pt idx="0">
                    <c:v>4623133.7973020868</c:v>
                  </c:pt>
                  <c:pt idx="1">
                    <c:v>9.9999999999999995E-7</c:v>
                  </c:pt>
                  <c:pt idx="2">
                    <c:v>3205437.2665466396</c:v>
                  </c:pt>
                  <c:pt idx="3">
                    <c:v>2939105.821482908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('PathogenTOT GRAIN'!$B$35:$D$35,'PathogenTOT GRAIN'!$G$35)</c:f>
              <c:strCache>
                <c:ptCount val="4"/>
                <c:pt idx="0">
                  <c:v>Mycobacterium </c:v>
                </c:pt>
                <c:pt idx="1">
                  <c:v>Clostridium</c:v>
                </c:pt>
                <c:pt idx="2">
                  <c:v>Legionella</c:v>
                </c:pt>
                <c:pt idx="3">
                  <c:v>Flavobacterium </c:v>
                </c:pt>
              </c:strCache>
            </c:strRef>
          </c:cat>
          <c:val>
            <c:numRef>
              <c:f>('PathogenTOT GRAIN'!$B$42:$D$42,'PathogenTOT GRAIN'!$G$42)</c:f>
              <c:numCache>
                <c:formatCode>0.E+00</c:formatCode>
                <c:ptCount val="4"/>
                <c:pt idx="0">
                  <c:v>11254155.764238412</c:v>
                </c:pt>
                <c:pt idx="1">
                  <c:v>1</c:v>
                </c:pt>
                <c:pt idx="2">
                  <c:v>4050052.6137290983</c:v>
                </c:pt>
                <c:pt idx="3">
                  <c:v>4586644.9250100851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961384"/>
        <c:axId val="385962560"/>
      </c:barChart>
      <c:catAx>
        <c:axId val="385961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>
                    <a:solidFill>
                      <a:schemeClr val="tx1"/>
                    </a:solidFill>
                  </a:rPr>
                  <a:t>Pathogens</a:t>
                </a:r>
                <a:r>
                  <a:rPr lang="en-GB" sz="2400" baseline="0">
                    <a:solidFill>
                      <a:schemeClr val="tx1"/>
                    </a:solidFill>
                  </a:rPr>
                  <a:t> </a:t>
                </a:r>
                <a:endParaRPr lang="en-GB" sz="24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677451494137465"/>
              <c:y val="0.89102064896755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962560"/>
        <c:crosses val="autoZero"/>
        <c:auto val="1"/>
        <c:lblAlgn val="ctr"/>
        <c:lblOffset val="100"/>
        <c:noMultiLvlLbl val="0"/>
      </c:catAx>
      <c:valAx>
        <c:axId val="385962560"/>
        <c:scaling>
          <c:logBase val="10"/>
          <c:orientation val="minMax"/>
          <c:max val="100000000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800">
                    <a:solidFill>
                      <a:schemeClr val="tx1"/>
                    </a:solidFill>
                  </a:rPr>
                  <a:t>Cells/cm</a:t>
                </a:r>
                <a:r>
                  <a:rPr lang="en-GB" sz="2800" baseline="30000">
                    <a:solidFill>
                      <a:schemeClr val="tx1"/>
                    </a:solidFill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9.1659981021331802E-3"/>
              <c:y val="0.428533009249330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96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TCC_Material!$F$13</c:f>
              <c:strCache>
                <c:ptCount val="1"/>
                <c:pt idx="0">
                  <c:v>TOP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TCC_Material!$L$13:$O$13</c:f>
                <c:numCache>
                  <c:formatCode>General</c:formatCode>
                  <c:ptCount val="4"/>
                </c:numCache>
              </c:numRef>
            </c:plus>
            <c:minus>
              <c:numRef>
                <c:f>TCC_Material!$L$13:$O$13</c:f>
                <c:numCache>
                  <c:formatCode>General</c:formatCode>
                  <c:ptCount val="4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TCC_Material!$G$12:$J$12</c:f>
              <c:strCache>
                <c:ptCount val="4"/>
                <c:pt idx="0">
                  <c:v>SAND1</c:v>
                </c:pt>
                <c:pt idx="1">
                  <c:v>SAND2</c:v>
                </c:pt>
                <c:pt idx="2">
                  <c:v>GAC1</c:v>
                </c:pt>
                <c:pt idx="3">
                  <c:v>GAC2</c:v>
                </c:pt>
              </c:strCache>
            </c:strRef>
          </c:cat>
          <c:val>
            <c:numRef>
              <c:f>TCC_Material!$G$13:$J$13</c:f>
              <c:numCache>
                <c:formatCode>0.00E+00</c:formatCode>
                <c:ptCount val="4"/>
                <c:pt idx="0">
                  <c:v>5422986682.8087196</c:v>
                </c:pt>
                <c:pt idx="1">
                  <c:v>2578583333.333334</c:v>
                </c:pt>
                <c:pt idx="2">
                  <c:v>9935657627.1186466</c:v>
                </c:pt>
                <c:pt idx="3">
                  <c:v>9671026318.84058</c:v>
                </c:pt>
              </c:numCache>
            </c:numRef>
          </c:val>
        </c:ser>
        <c:ser>
          <c:idx val="5"/>
          <c:order val="1"/>
          <c:tx>
            <c:strRef>
              <c:f>TCC_Material!$F$14</c:f>
              <c:strCache>
                <c:ptCount val="1"/>
                <c:pt idx="0">
                  <c:v>BOT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TCC_Material!$L$14:$O$14</c:f>
                <c:numCache>
                  <c:formatCode>General</c:formatCode>
                  <c:ptCount val="4"/>
                </c:numCache>
              </c:numRef>
            </c:plus>
            <c:minus>
              <c:numRef>
                <c:f>TCC_Material!$L$14:$O$14</c:f>
                <c:numCache>
                  <c:formatCode>General</c:formatCode>
                  <c:ptCount val="4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TCC_Material!$G$12:$J$12</c:f>
              <c:strCache>
                <c:ptCount val="4"/>
                <c:pt idx="0">
                  <c:v>SAND1</c:v>
                </c:pt>
                <c:pt idx="1">
                  <c:v>SAND2</c:v>
                </c:pt>
                <c:pt idx="2">
                  <c:v>GAC1</c:v>
                </c:pt>
                <c:pt idx="3">
                  <c:v>GAC2</c:v>
                </c:pt>
              </c:strCache>
            </c:strRef>
          </c:cat>
          <c:val>
            <c:numRef>
              <c:f>TCC_Material!$G$14:$J$14</c:f>
              <c:numCache>
                <c:formatCode>0.00E+00</c:formatCode>
                <c:ptCount val="4"/>
                <c:pt idx="0">
                  <c:v>989922352.94117665</c:v>
                </c:pt>
                <c:pt idx="1">
                  <c:v>999496565.51724148</c:v>
                </c:pt>
                <c:pt idx="2">
                  <c:v>97945466.666666672</c:v>
                </c:pt>
                <c:pt idx="3">
                  <c:v>4985016400.000001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962168"/>
        <c:axId val="385962952"/>
      </c:barChart>
      <c:catAx>
        <c:axId val="38596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962952"/>
        <c:crosses val="autoZero"/>
        <c:auto val="1"/>
        <c:lblAlgn val="ctr"/>
        <c:lblOffset val="100"/>
        <c:noMultiLvlLbl val="0"/>
      </c:catAx>
      <c:valAx>
        <c:axId val="38596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962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TCC_Material!$P$15</c:f>
              <c:strCache>
                <c:ptCount val="1"/>
                <c:pt idx="0">
                  <c:v>SAND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  <a:effectLst/>
            </c:spPr>
          </c:dPt>
          <c:errBars>
            <c:errBarType val="both"/>
            <c:errValType val="cust"/>
            <c:noEndCap val="0"/>
            <c:plus>
              <c:numRef>
                <c:f>(TCC_Material!$Q$18,TCC_Material!$U$18)</c:f>
                <c:numCache>
                  <c:formatCode>General</c:formatCode>
                  <c:ptCount val="2"/>
                  <c:pt idx="0">
                    <c:v>841604620.72033417</c:v>
                  </c:pt>
                  <c:pt idx="1">
                    <c:v>171080965.20439854</c:v>
                  </c:pt>
                </c:numCache>
              </c:numRef>
            </c:plus>
            <c:minus>
              <c:numRef>
                <c:f>(TCC_Material!$Q$18,TCC_Material!$U$18)</c:f>
                <c:numCache>
                  <c:formatCode>General</c:formatCode>
                  <c:ptCount val="2"/>
                  <c:pt idx="0">
                    <c:v>841604620.72033417</c:v>
                  </c:pt>
                  <c:pt idx="1">
                    <c:v>171080965.20439854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TCC_Material!$O$18:$O$19</c:f>
              <c:strCache>
                <c:ptCount val="2"/>
                <c:pt idx="0">
                  <c:v>TOP</c:v>
                </c:pt>
                <c:pt idx="1">
                  <c:v>BOT</c:v>
                </c:pt>
              </c:strCache>
            </c:strRef>
          </c:cat>
          <c:val>
            <c:numRef>
              <c:f>TCC_Material!$P$18:$P$19</c:f>
              <c:numCache>
                <c:formatCode>0.00E+00</c:formatCode>
                <c:ptCount val="2"/>
                <c:pt idx="0">
                  <c:v>4000785008.0710268</c:v>
                </c:pt>
                <c:pt idx="1">
                  <c:v>994709459.22920907</c:v>
                </c:pt>
              </c:numCache>
            </c:numRef>
          </c:val>
        </c:ser>
        <c:ser>
          <c:idx val="0"/>
          <c:order val="1"/>
          <c:tx>
            <c:strRef>
              <c:f>TCC_Material!$T$15</c:f>
              <c:strCache>
                <c:ptCount val="1"/>
                <c:pt idx="0">
                  <c:v>GAC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</c:dPt>
          <c:errBars>
            <c:errBarType val="both"/>
            <c:errValType val="cust"/>
            <c:noEndCap val="0"/>
            <c:plus>
              <c:numRef>
                <c:f>(TCC_Material!$Q$19,TCC_Material!$U$19)</c:f>
                <c:numCache>
                  <c:formatCode>General</c:formatCode>
                  <c:ptCount val="2"/>
                  <c:pt idx="0">
                    <c:v>13029924.055966649</c:v>
                  </c:pt>
                  <c:pt idx="1">
                    <c:v>1480721458.2390909</c:v>
                  </c:pt>
                </c:numCache>
              </c:numRef>
            </c:plus>
            <c:minus>
              <c:numRef>
                <c:f>(TCC_Material!$Q$19,TCC_Material!$U$19)</c:f>
                <c:numCache>
                  <c:formatCode>General</c:formatCode>
                  <c:ptCount val="2"/>
                  <c:pt idx="0">
                    <c:v>13029924.055966649</c:v>
                  </c:pt>
                  <c:pt idx="1">
                    <c:v>1480721458.2390909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TCC_Material!$O$18:$O$19</c:f>
              <c:strCache>
                <c:ptCount val="2"/>
                <c:pt idx="0">
                  <c:v>TOP</c:v>
                </c:pt>
                <c:pt idx="1">
                  <c:v>BOT</c:v>
                </c:pt>
              </c:strCache>
            </c:strRef>
          </c:cat>
          <c:val>
            <c:numRef>
              <c:f>TCC_Material!$T$18:$T$19</c:f>
              <c:numCache>
                <c:formatCode>0.00E+00</c:formatCode>
                <c:ptCount val="2"/>
                <c:pt idx="0">
                  <c:v>9803341972.9796143</c:v>
                </c:pt>
                <c:pt idx="1">
                  <c:v>2517132120.7500005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964912"/>
        <c:axId val="385963736"/>
      </c:barChart>
      <c:catAx>
        <c:axId val="38596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963736"/>
        <c:crosses val="autoZero"/>
        <c:auto val="1"/>
        <c:lblAlgn val="ctr"/>
        <c:lblOffset val="100"/>
        <c:noMultiLvlLbl val="0"/>
      </c:catAx>
      <c:valAx>
        <c:axId val="38596373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/>
                  <a:t>Total</a:t>
                </a:r>
                <a:r>
                  <a:rPr lang="en-GB" sz="1600" b="1" baseline="0"/>
                  <a:t> cells (cells/gDW)</a:t>
                </a:r>
                <a:endParaRPr lang="en-GB" sz="1600" b="1"/>
              </a:p>
            </c:rich>
          </c:tx>
          <c:layout>
            <c:manualLayout>
              <c:xMode val="edge"/>
              <c:yMode val="edge"/>
              <c:x val="1.1337868480725623E-2"/>
              <c:y val="0.169747077069911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0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96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74992341796537"/>
          <c:y val="4.7619047619047616E-2"/>
          <c:w val="0.73737811056664415"/>
          <c:h val="0.8267024576473395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TCC_Material!$P$30</c:f>
              <c:strCache>
                <c:ptCount val="1"/>
                <c:pt idx="0">
                  <c:v>SAND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 w="12700">
                <a:solidFill>
                  <a:schemeClr val="tx1"/>
                </a:solidFill>
              </a:ln>
              <a:effectLst/>
            </c:spPr>
          </c:dPt>
          <c:errBars>
            <c:errBarType val="both"/>
            <c:errValType val="cust"/>
            <c:noEndCap val="0"/>
            <c:plus>
              <c:numRef>
                <c:f>(TCC_Material!$Q$33,TCC_Material!$U$33)</c:f>
                <c:numCache>
                  <c:formatCode>General</c:formatCode>
                  <c:ptCount val="2"/>
                  <c:pt idx="0">
                    <c:v>467558122.62240785</c:v>
                  </c:pt>
                  <c:pt idx="1">
                    <c:v>22810795.360586472</c:v>
                  </c:pt>
                </c:numCache>
              </c:numRef>
            </c:plus>
            <c:minus>
              <c:numRef>
                <c:f>(TCC_Material!$Q$33,TCC_Material!$U$33)</c:f>
                <c:numCache>
                  <c:formatCode>General</c:formatCode>
                  <c:ptCount val="2"/>
                  <c:pt idx="0">
                    <c:v>467558122.62240785</c:v>
                  </c:pt>
                  <c:pt idx="1">
                    <c:v>22810795.360586472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TCC_Material!$O$33:$O$34</c:f>
              <c:strCache>
                <c:ptCount val="2"/>
                <c:pt idx="0">
                  <c:v>TOP</c:v>
                </c:pt>
                <c:pt idx="1">
                  <c:v>BOT</c:v>
                </c:pt>
              </c:strCache>
            </c:strRef>
          </c:cat>
          <c:val>
            <c:numRef>
              <c:f>TCC_Material!$P$33:$P$34</c:f>
              <c:numCache>
                <c:formatCode>0.00E+00</c:formatCode>
                <c:ptCount val="2"/>
                <c:pt idx="0">
                  <c:v>7938065492.2044172</c:v>
                </c:pt>
                <c:pt idx="1">
                  <c:v>1973629879.4230337</c:v>
                </c:pt>
              </c:numCache>
            </c:numRef>
          </c:val>
        </c:ser>
        <c:ser>
          <c:idx val="0"/>
          <c:order val="1"/>
          <c:tx>
            <c:strRef>
              <c:f>TCC_Material!$T$30</c:f>
              <c:strCache>
                <c:ptCount val="1"/>
                <c:pt idx="0">
                  <c:v>GAC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(TCC_Material!$Q$34,TCC_Material!$U$34)</c:f>
                <c:numCache>
                  <c:formatCode>General</c:formatCode>
                  <c:ptCount val="2"/>
                  <c:pt idx="0">
                    <c:v>7238846.6977592492</c:v>
                  </c:pt>
                  <c:pt idx="1">
                    <c:v>197429527.76521212</c:v>
                  </c:pt>
                </c:numCache>
              </c:numRef>
            </c:plus>
            <c:minus>
              <c:numRef>
                <c:f>(TCC_Material!$Q$34,TCC_Material!$U$34)</c:f>
                <c:numCache>
                  <c:formatCode>General</c:formatCode>
                  <c:ptCount val="2"/>
                  <c:pt idx="0">
                    <c:v>7238846.6977592492</c:v>
                  </c:pt>
                  <c:pt idx="1">
                    <c:v>197429527.76521212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TCC_Material!$O$33:$O$34</c:f>
              <c:strCache>
                <c:ptCount val="2"/>
                <c:pt idx="0">
                  <c:v>TOP</c:v>
                </c:pt>
                <c:pt idx="1">
                  <c:v>BOT</c:v>
                </c:pt>
              </c:strCache>
            </c:strRef>
          </c:cat>
          <c:val>
            <c:numRef>
              <c:f>TCC_Material!$T$33:$T$34</c:f>
              <c:numCache>
                <c:formatCode>0.00E+00</c:formatCode>
                <c:ptCount val="2"/>
                <c:pt idx="0">
                  <c:v>4668258082.3712454</c:v>
                </c:pt>
                <c:pt idx="1">
                  <c:v>1198634343.2142861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964520"/>
        <c:axId val="385965304"/>
      </c:barChart>
      <c:catAx>
        <c:axId val="385964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385965304"/>
        <c:crosses val="autoZero"/>
        <c:auto val="1"/>
        <c:lblAlgn val="ctr"/>
        <c:lblOffset val="100"/>
        <c:noMultiLvlLbl val="0"/>
      </c:catAx>
      <c:valAx>
        <c:axId val="38596530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GB" sz="2400" b="0">
                    <a:solidFill>
                      <a:sysClr val="windowText" lastClr="000000"/>
                    </a:solidFill>
                  </a:rPr>
                  <a:t>Total cells (cells/cm</a:t>
                </a:r>
                <a:r>
                  <a:rPr lang="en-GB" sz="2400" b="0" baseline="30000">
                    <a:solidFill>
                      <a:sysClr val="windowText" lastClr="000000"/>
                    </a:solidFill>
                  </a:rPr>
                  <a:t>3</a:t>
                </a:r>
                <a:r>
                  <a:rPr lang="en-GB" sz="2400" b="0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4263668686819355E-2"/>
              <c:y val="0.1950344827586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0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385964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591797321846788"/>
          <c:y val="7.2743634318437472E-2"/>
          <c:w val="0.17641409556529766"/>
          <c:h val="0.25278112963152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476250</xdr:colOff>
      <xdr:row>64</xdr:row>
      <xdr:rowOff>28574</xdr:rowOff>
    </xdr:from>
    <xdr:to>
      <xdr:col>24</xdr:col>
      <xdr:colOff>190500</xdr:colOff>
      <xdr:row>85</xdr:row>
      <xdr:rowOff>152399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384999</xdr:colOff>
      <xdr:row>36</xdr:row>
      <xdr:rowOff>157199</xdr:rowOff>
    </xdr:from>
    <xdr:to>
      <xdr:col>28</xdr:col>
      <xdr:colOff>95250</xdr:colOff>
      <xdr:row>78</xdr:row>
      <xdr:rowOff>108856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322487</xdr:colOff>
      <xdr:row>39</xdr:row>
      <xdr:rowOff>102053</xdr:rowOff>
    </xdr:from>
    <xdr:to>
      <xdr:col>19</xdr:col>
      <xdr:colOff>68035</xdr:colOff>
      <xdr:row>67</xdr:row>
      <xdr:rowOff>149678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21</xdr:row>
      <xdr:rowOff>71437</xdr:rowOff>
    </xdr:from>
    <xdr:to>
      <xdr:col>11</xdr:col>
      <xdr:colOff>409575</xdr:colOff>
      <xdr:row>35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41</xdr:row>
      <xdr:rowOff>57150</xdr:rowOff>
    </xdr:from>
    <xdr:to>
      <xdr:col>13</xdr:col>
      <xdr:colOff>133350</xdr:colOff>
      <xdr:row>56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381000</xdr:colOff>
      <xdr:row>45</xdr:row>
      <xdr:rowOff>54429</xdr:rowOff>
    </xdr:from>
    <xdr:to>
      <xdr:col>26</xdr:col>
      <xdr:colOff>54428</xdr:colOff>
      <xdr:row>74</xdr:row>
      <xdr:rowOff>54429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42862</xdr:rowOff>
    </xdr:from>
    <xdr:ext cx="4514850" cy="27574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0" y="233362"/>
              <a:ext cx="4514850" cy="2757488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GB" sz="2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GB" sz="2400" b="0" i="1">
                            <a:latin typeface="Cambria Math" panose="02040503050406030204" pitchFamily="18" charset="0"/>
                          </a:rPr>
                          <m:t>𝐶</m:t>
                        </m:r>
                        <m:r>
                          <a:rPr lang="en-GB" sz="2400" b="0" i="1" baseline="-25000">
                            <a:latin typeface="Cambria Math" panose="02040503050406030204" pitchFamily="18" charset="0"/>
                          </a:rPr>
                          <m:t>𝑒𝑓𝑓</m:t>
                        </m:r>
                        <m:r>
                          <a:rPr lang="en-GB" sz="2400" b="0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en-GB" sz="2400" b="0" i="1">
                            <a:latin typeface="Cambria Math" panose="02040503050406030204" pitchFamily="18" charset="0"/>
                          </a:rPr>
                          <m:t>𝐶𝑖𝑛</m:t>
                        </m:r>
                        <m:r>
                          <a:rPr lang="en-GB" sz="24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24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en-GB" sz="24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GB" sz="2400" b="0" i="1">
                            <a:latin typeface="Cambria Math" panose="02040503050406030204" pitchFamily="18" charset="0"/>
                          </a:rPr>
                          <m:t>𝐾𝑇𝐸𝐶𝐵</m:t>
                        </m:r>
                      </m:sup>
                    </m:sSup>
                  </m:oMath>
                </m:oMathPara>
              </a14:m>
              <a:endParaRPr lang="en-GB" sz="2400"/>
            </a:p>
            <a:p>
              <a:endParaRPr lang="en-GB" sz="2400"/>
            </a:p>
            <a:p>
              <a:pPr algn="ctr"/>
              <a14:m>
                <m:oMath xmlns:m="http://schemas.openxmlformats.org/officeDocument/2006/math">
                  <m:r>
                    <m:rPr>
                      <m:sty m:val="p"/>
                    </m:rPr>
                    <a:rPr lang="en-GB" sz="2400" b="0" i="0">
                      <a:latin typeface="Cambria Math" panose="02040503050406030204" pitchFamily="18" charset="0"/>
                    </a:rPr>
                    <m:t>ln</m:t>
                  </m:r>
                  <m:r>
                    <a:rPr lang="en-GB" sz="2400" b="0" i="1">
                      <a:latin typeface="Cambria Math" panose="02040503050406030204" pitchFamily="18" charset="0"/>
                    </a:rPr>
                    <m:t>⁡(</m:t>
                  </m:r>
                  <m:f>
                    <m:fPr>
                      <m:ctrlPr>
                        <a:rPr lang="en-GB" sz="2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GB" sz="2400" b="0" i="1">
                          <a:latin typeface="Cambria Math" panose="02040503050406030204" pitchFamily="18" charset="0"/>
                        </a:rPr>
                        <m:t>𝐶</m:t>
                      </m:r>
                      <m:r>
                        <a:rPr lang="en-GB" sz="2400" b="0" i="1" baseline="-25000">
                          <a:latin typeface="Cambria Math" panose="02040503050406030204" pitchFamily="18" charset="0"/>
                        </a:rPr>
                        <m:t>𝑒𝑓𝑓</m:t>
                      </m:r>
                    </m:num>
                    <m:den>
                      <m:r>
                        <a:rPr lang="en-GB" sz="2400" b="0" i="1">
                          <a:latin typeface="Cambria Math" panose="02040503050406030204" pitchFamily="18" charset="0"/>
                        </a:rPr>
                        <m:t>𝐶</m:t>
                      </m:r>
                      <m:r>
                        <a:rPr lang="en-GB" sz="2400" b="0" i="1" baseline="-25000">
                          <a:latin typeface="Cambria Math" panose="02040503050406030204" pitchFamily="18" charset="0"/>
                        </a:rPr>
                        <m:t>𝑖𝑛</m:t>
                      </m:r>
                    </m:den>
                  </m:f>
                </m:oMath>
              </a14:m>
              <a:r>
                <a:rPr lang="en-GB" sz="2400"/>
                <a:t>)= -KT</a:t>
              </a:r>
              <a:r>
                <a:rPr lang="en-GB" sz="2400" baseline="-25000"/>
                <a:t>ECB</a:t>
              </a:r>
            </a:p>
            <a:p>
              <a:pPr algn="ctr"/>
              <a:endParaRPr lang="en-GB" sz="2400" baseline="-25000"/>
            </a:p>
            <a:p>
              <a:pPr algn="ctr"/>
              <a:r>
                <a:rPr lang="en-GB" sz="2400" baseline="0"/>
                <a:t>K=- </a:t>
              </a:r>
              <a14:m>
                <m:oMath xmlns:m="http://schemas.openxmlformats.org/officeDocument/2006/math">
                  <m:r>
                    <m:rPr>
                      <m:sty m:val="p"/>
                    </m:rPr>
                    <a:rPr kumimoji="0" lang="en-GB" sz="2400" b="0" i="0" u="none" strike="noStrike" kern="0" cap="none" spc="0" normalizeH="0" baseline="0" noProof="0">
                      <a:ln>
                        <a:noFill/>
                      </a:ln>
                      <a:solidFill>
                        <a:prstClr val="black"/>
                      </a:solidFill>
                      <a:effectLst/>
                      <a:uLnTx/>
                      <a:uFillTx/>
                      <a:latin typeface="Cambria Math" panose="02040503050406030204" pitchFamily="18" charset="0"/>
                      <a:ea typeface="+mn-ea"/>
                      <a:cs typeface="+mn-cs"/>
                    </a:rPr>
                    <m:t>ln</m:t>
                  </m:r>
                  <m:r>
                    <a:rPr kumimoji="0" lang="en-GB" sz="2400" b="0" i="1" u="none" strike="noStrike" kern="0" cap="none" spc="0" normalizeH="0" baseline="0" noProof="0">
                      <a:ln>
                        <a:noFill/>
                      </a:ln>
                      <a:solidFill>
                        <a:prstClr val="black"/>
                      </a:solidFill>
                      <a:effectLst/>
                      <a:uLnTx/>
                      <a:uFillTx/>
                      <a:latin typeface="Cambria Math" panose="02040503050406030204" pitchFamily="18" charset="0"/>
                      <a:ea typeface="+mn-ea"/>
                      <a:cs typeface="+mn-cs"/>
                    </a:rPr>
                    <m:t>⁡(</m:t>
                  </m:r>
                  <m:f>
                    <m:fPr>
                      <m:ctrlPr>
                        <a:rPr kumimoji="0" lang="en-GB" sz="2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kumimoji="0" lang="en-GB" sz="2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𝐶</m:t>
                      </m:r>
                      <m:r>
                        <a:rPr kumimoji="0" lang="en-GB" sz="2400" b="0" i="1" u="none" strike="noStrike" kern="0" cap="none" spc="0" normalizeH="0" baseline="-2500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𝑒𝑓𝑓</m:t>
                      </m:r>
                    </m:num>
                    <m:den>
                      <m:r>
                        <a:rPr kumimoji="0" lang="en-GB" sz="2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𝐶</m:t>
                      </m:r>
                      <m:r>
                        <a:rPr kumimoji="0" lang="en-GB" sz="2400" b="0" i="1" u="none" strike="noStrike" kern="0" cap="none" spc="0" normalizeH="0" baseline="-2500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𝑖𝑛</m:t>
                      </m:r>
                    </m:den>
                  </m:f>
                </m:oMath>
              </a14:m>
              <a:r>
                <a:rPr kumimoji="0" lang="en-GB" sz="24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)/T</a:t>
              </a:r>
              <a:r>
                <a:rPr kumimoji="0" lang="en-GB" sz="2400" b="0" i="0" u="none" strike="noStrike" kern="0" cap="none" spc="0" normalizeH="0" baseline="-2500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ECB</a:t>
              </a:r>
            </a:p>
            <a:p>
              <a:pPr algn="ctr"/>
              <a:endParaRPr lang="en-GB" sz="2400" baseline="-250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0" y="233362"/>
              <a:ext cx="4514850" cy="2757488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GB" sz="2400" i="0">
                  <a:latin typeface="Cambria Math" panose="02040503050406030204" pitchFamily="18" charset="0"/>
                </a:rPr>
                <a:t>〖</a:t>
              </a:r>
              <a:r>
                <a:rPr lang="en-GB" sz="2400" b="0" i="0">
                  <a:latin typeface="Cambria Math" panose="02040503050406030204" pitchFamily="18" charset="0"/>
                </a:rPr>
                <a:t>𝐶</a:t>
              </a:r>
              <a:r>
                <a:rPr lang="en-GB" sz="2400" b="0" i="0" baseline="-25000">
                  <a:latin typeface="Cambria Math" panose="02040503050406030204" pitchFamily="18" charset="0"/>
                </a:rPr>
                <a:t>𝑒𝑓𝑓</a:t>
              </a:r>
              <a:r>
                <a:rPr lang="en-GB" sz="2400" b="0" i="0">
                  <a:latin typeface="Cambria Math" panose="02040503050406030204" pitchFamily="18" charset="0"/>
                </a:rPr>
                <a:t>=𝐶</a:t>
              </a:r>
              <a:r>
                <a:rPr lang="en-GB" sz="2400" b="0" i="0" baseline="-25000">
                  <a:latin typeface="Cambria Math" panose="02040503050406030204" pitchFamily="18" charset="0"/>
                </a:rPr>
                <a:t>𝑖𝑛</a:t>
              </a:r>
              <a:r>
                <a:rPr lang="en-GB" sz="2400" b="0" i="0">
                  <a:latin typeface="Cambria Math" panose="02040503050406030204" pitchFamily="18" charset="0"/>
                </a:rPr>
                <a:t>∗𝑒〗^(−𝐾𝑇</a:t>
              </a:r>
              <a:r>
                <a:rPr lang="en-GB" sz="2400" b="0" i="0" baseline="-25000">
                  <a:latin typeface="Cambria Math" panose="02040503050406030204" pitchFamily="18" charset="0"/>
                </a:rPr>
                <a:t>𝐸𝐶𝐵)</a:t>
              </a:r>
              <a:endParaRPr lang="en-GB" sz="2400"/>
            </a:p>
            <a:p>
              <a:endParaRPr lang="en-GB" sz="2400"/>
            </a:p>
            <a:p>
              <a:pPr algn="ctr"/>
              <a:r>
                <a:rPr lang="en-GB" sz="2400" b="0" i="0">
                  <a:latin typeface="Cambria Math" panose="02040503050406030204" pitchFamily="18" charset="0"/>
                </a:rPr>
                <a:t>ln⁡(𝐶</a:t>
              </a:r>
              <a:r>
                <a:rPr lang="en-GB" sz="2400" b="0" i="0" baseline="-25000">
                  <a:latin typeface="Cambria Math" panose="02040503050406030204" pitchFamily="18" charset="0"/>
                </a:rPr>
                <a:t>𝑒𝑓𝑓/</a:t>
              </a:r>
              <a:r>
                <a:rPr lang="en-GB" sz="2400" b="0" i="0">
                  <a:latin typeface="Cambria Math" panose="02040503050406030204" pitchFamily="18" charset="0"/>
                </a:rPr>
                <a:t>𝐶</a:t>
              </a:r>
              <a:r>
                <a:rPr lang="en-GB" sz="2400" b="0" i="0" baseline="-25000">
                  <a:latin typeface="Cambria Math" panose="02040503050406030204" pitchFamily="18" charset="0"/>
                </a:rPr>
                <a:t>𝑖𝑛</a:t>
              </a:r>
              <a:r>
                <a:rPr lang="en-GB" sz="2400"/>
                <a:t>)= -KT</a:t>
              </a:r>
              <a:r>
                <a:rPr lang="en-GB" sz="2400" baseline="-25000"/>
                <a:t>ECB</a:t>
              </a:r>
            </a:p>
            <a:p>
              <a:pPr algn="ctr"/>
              <a:endParaRPr lang="en-GB" sz="2400" baseline="-25000"/>
            </a:p>
            <a:p>
              <a:pPr algn="ctr"/>
              <a:r>
                <a:rPr lang="en-GB" sz="2400" baseline="0"/>
                <a:t>K=- </a:t>
              </a:r>
              <a:r>
                <a:rPr kumimoji="0" lang="en-GB" sz="24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ln⁡(𝐶</a:t>
              </a:r>
              <a:r>
                <a:rPr kumimoji="0" lang="en-GB" sz="2400" b="0" i="0" u="none" strike="noStrike" kern="0" cap="none" spc="0" normalizeH="0" baseline="-2500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𝑒𝑓𝑓</a:t>
              </a:r>
              <a:r>
                <a:rPr kumimoji="0" lang="en-GB" sz="24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/𝐶</a:t>
              </a:r>
              <a:r>
                <a:rPr kumimoji="0" lang="en-GB" sz="2400" b="0" i="0" u="none" strike="noStrike" kern="0" cap="none" spc="0" normalizeH="0" baseline="-2500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𝑖𝑛</a:t>
              </a:r>
              <a:r>
                <a:rPr kumimoji="0" lang="en-GB" sz="24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)/T</a:t>
              </a:r>
              <a:r>
                <a:rPr kumimoji="0" lang="en-GB" sz="2400" b="0" i="0" u="none" strike="noStrike" kern="0" cap="none" spc="0" normalizeH="0" baseline="-2500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ECB</a:t>
              </a:r>
            </a:p>
            <a:p>
              <a:pPr algn="ctr"/>
              <a:endParaRPr lang="en-GB" sz="2400" baseline="-250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3"/>
  <sheetViews>
    <sheetView topLeftCell="A43" zoomScale="70" zoomScaleNormal="70" workbookViewId="0">
      <pane xSplit="1" topLeftCell="X1" activePane="topRight" state="frozen"/>
      <selection pane="topRight" activeCell="A4" sqref="A4:A39"/>
    </sheetView>
  </sheetViews>
  <sheetFormatPr defaultColWidth="97.85546875" defaultRowHeight="15" x14ac:dyDescent="0.25"/>
  <cols>
    <col min="1" max="1" width="138.140625" style="5" bestFit="1" customWidth="1"/>
    <col min="2" max="2" width="19.85546875" style="5" customWidth="1"/>
    <col min="3" max="7" width="13.42578125" style="5" bestFit="1" customWidth="1"/>
    <col min="8" max="8" width="35.28515625" style="5" customWidth="1"/>
    <col min="9" max="15" width="13.42578125" style="5" bestFit="1" customWidth="1"/>
    <col min="16" max="16" width="27.42578125" style="5" customWidth="1"/>
    <col min="17" max="23" width="13.42578125" style="5" bestFit="1" customWidth="1"/>
    <col min="24" max="24" width="20" style="5" customWidth="1"/>
    <col min="25" max="28" width="14.140625" style="5" bestFit="1" customWidth="1"/>
    <col min="29" max="29" width="14.140625" style="37" customWidth="1"/>
    <col min="30" max="33" width="14.140625" style="5" bestFit="1" customWidth="1"/>
    <col min="34" max="34" width="14.140625" style="5" customWidth="1"/>
    <col min="35" max="38" width="13.42578125" style="5" bestFit="1" customWidth="1"/>
    <col min="39" max="39" width="14.140625" style="37" customWidth="1"/>
    <col min="40" max="42" width="13.42578125" style="5" bestFit="1" customWidth="1"/>
    <col min="43" max="16384" width="97.85546875" style="5"/>
  </cols>
  <sheetData>
    <row r="1" spans="1:42" customFormat="1" ht="15.75" thickBot="1" x14ac:dyDescent="0.3">
      <c r="C1" s="1">
        <v>11856744.92638281</v>
      </c>
      <c r="D1" t="s">
        <v>80</v>
      </c>
      <c r="H1" s="1">
        <v>3869080.7799442899</v>
      </c>
      <c r="I1" s="1">
        <f>Q1</f>
        <v>3788201.3529645847</v>
      </c>
      <c r="J1" t="s">
        <v>80</v>
      </c>
      <c r="Q1" s="1">
        <v>3788201.3529645847</v>
      </c>
      <c r="R1" t="s">
        <v>80</v>
      </c>
      <c r="Y1" s="1">
        <f>TCC_Material!$P$33</f>
        <v>7938065492.2044172</v>
      </c>
      <c r="Z1" t="s">
        <v>87</v>
      </c>
      <c r="AC1" s="36"/>
      <c r="AD1" s="1">
        <f>TCC_Material!$P$34</f>
        <v>1973629879.4230337</v>
      </c>
      <c r="AE1" t="s">
        <v>87</v>
      </c>
      <c r="AF1" s="1"/>
      <c r="AI1" s="70">
        <f>TCC_Material!$T$33</f>
        <v>4668258082.3712454</v>
      </c>
      <c r="AJ1" t="s">
        <v>87</v>
      </c>
      <c r="AM1" s="36"/>
      <c r="AN1" s="1">
        <f>TCC_Material!$T$34</f>
        <v>1198634343.2142861</v>
      </c>
      <c r="AO1" t="s">
        <v>87</v>
      </c>
    </row>
    <row r="2" spans="1:42" ht="15.75" thickBot="1" x14ac:dyDescent="0.3"/>
    <row r="3" spans="1:42" ht="16.5" thickBot="1" x14ac:dyDescent="0.3">
      <c r="A3" s="5" t="s">
        <v>0</v>
      </c>
      <c r="C3" s="39" t="s">
        <v>37</v>
      </c>
      <c r="D3" s="39" t="s">
        <v>38</v>
      </c>
      <c r="E3" s="39" t="s">
        <v>39</v>
      </c>
      <c r="F3" s="39" t="s">
        <v>40</v>
      </c>
      <c r="G3" s="39" t="s">
        <v>41</v>
      </c>
      <c r="H3"/>
      <c r="I3" t="s">
        <v>42</v>
      </c>
      <c r="J3" t="s">
        <v>42</v>
      </c>
      <c r="K3" t="s">
        <v>42</v>
      </c>
      <c r="L3" t="s">
        <v>42</v>
      </c>
      <c r="M3" t="s">
        <v>42</v>
      </c>
      <c r="N3" t="s">
        <v>43</v>
      </c>
      <c r="O3" t="s">
        <v>43</v>
      </c>
      <c r="P3"/>
      <c r="Q3" t="s">
        <v>44</v>
      </c>
      <c r="R3" t="s">
        <v>44</v>
      </c>
      <c r="S3" t="s">
        <v>44</v>
      </c>
      <c r="T3" t="s">
        <v>44</v>
      </c>
      <c r="U3" t="s">
        <v>44</v>
      </c>
      <c r="V3" t="s">
        <v>45</v>
      </c>
      <c r="W3" t="s">
        <v>45</v>
      </c>
      <c r="X3" s="6"/>
      <c r="Y3" s="2" t="s">
        <v>22</v>
      </c>
      <c r="Z3" s="3" t="s">
        <v>23</v>
      </c>
      <c r="AA3" s="2" t="s">
        <v>26</v>
      </c>
      <c r="AB3" s="34" t="s">
        <v>27</v>
      </c>
      <c r="AC3" s="38"/>
      <c r="AD3" s="35" t="s">
        <v>24</v>
      </c>
      <c r="AE3" s="4" t="s">
        <v>25</v>
      </c>
      <c r="AF3" s="3" t="s">
        <v>28</v>
      </c>
      <c r="AG3" s="4" t="s">
        <v>29</v>
      </c>
      <c r="AH3" s="32"/>
      <c r="AI3" s="2" t="s">
        <v>30</v>
      </c>
      <c r="AJ3" s="3" t="s">
        <v>31</v>
      </c>
      <c r="AK3" s="2" t="s">
        <v>33</v>
      </c>
      <c r="AL3" s="3" t="s">
        <v>34</v>
      </c>
      <c r="AM3" s="38"/>
      <c r="AN3" s="3" t="s">
        <v>32</v>
      </c>
      <c r="AO3" s="3" t="s">
        <v>35</v>
      </c>
      <c r="AP3" s="4" t="s">
        <v>36</v>
      </c>
    </row>
    <row r="4" spans="1:42" x14ac:dyDescent="0.25">
      <c r="A4" s="5" t="s">
        <v>1</v>
      </c>
      <c r="C4" s="5">
        <v>3.5641066077899998E-3</v>
      </c>
      <c r="D4" s="5">
        <v>3.1949519758800002E-3</v>
      </c>
      <c r="E4" s="5">
        <v>4.20745133091E-3</v>
      </c>
      <c r="F4" s="5">
        <v>3.4583912305099999E-3</v>
      </c>
      <c r="G4" s="5">
        <v>4.1093827319899998E-3</v>
      </c>
      <c r="I4" s="5">
        <v>6.55116491915E-3</v>
      </c>
      <c r="J4" s="5">
        <v>5.95548852408E-3</v>
      </c>
      <c r="K4" s="5">
        <v>4.3522785458300003E-3</v>
      </c>
      <c r="L4" s="5">
        <v>5.1207022677399999E-3</v>
      </c>
      <c r="M4" s="5">
        <v>3.75827381175E-3</v>
      </c>
      <c r="N4" s="5">
        <v>2.82939304078E-3</v>
      </c>
      <c r="O4" s="5">
        <v>3.7730853246800001E-3</v>
      </c>
      <c r="Q4" s="5">
        <v>7.4236206110400004E-3</v>
      </c>
      <c r="R4" s="5">
        <v>9.1902161006900008E-3</v>
      </c>
      <c r="S4" s="5">
        <v>1.35593220339E-2</v>
      </c>
      <c r="T4" s="5">
        <v>9.4961999529899997E-3</v>
      </c>
      <c r="U4" s="5">
        <v>6.3708985277599996E-3</v>
      </c>
      <c r="V4" s="5">
        <v>4.3728591210600003E-3</v>
      </c>
      <c r="W4" s="5">
        <v>5.4871718819499999E-3</v>
      </c>
      <c r="Y4" s="5">
        <v>4.09232280242E-3</v>
      </c>
      <c r="Z4" s="5">
        <v>5.7306590257900003E-3</v>
      </c>
      <c r="AA4" s="5">
        <v>4.6189376443399998E-3</v>
      </c>
      <c r="AB4" s="5">
        <v>8.6809741982200005E-3</v>
      </c>
      <c r="AD4" s="5">
        <v>4.8646362098100004E-3</v>
      </c>
      <c r="AE4" s="5">
        <v>6.7957866122999996E-3</v>
      </c>
      <c r="AF4" s="5">
        <v>5.4040144107100003E-3</v>
      </c>
      <c r="AG4" s="5">
        <v>7.0155479711799997E-3</v>
      </c>
      <c r="AI4" s="5">
        <v>2.8571428571400001E-3</v>
      </c>
      <c r="AJ4" s="5">
        <v>3.4662045060700002E-3</v>
      </c>
      <c r="AK4" s="5">
        <v>2.1959923140299998E-3</v>
      </c>
      <c r="AL4" s="5">
        <v>4.1841004184099998E-3</v>
      </c>
      <c r="AN4" s="5">
        <v>6.2040441176499997E-3</v>
      </c>
      <c r="AO4" s="5">
        <v>1.1481056257200001E-3</v>
      </c>
      <c r="AP4" s="5">
        <v>3.2460945424999999E-3</v>
      </c>
    </row>
    <row r="5" spans="1:42" x14ac:dyDescent="0.25">
      <c r="A5" s="5" t="s">
        <v>2</v>
      </c>
      <c r="C5" s="5">
        <v>4.1318404037199996E-3</v>
      </c>
      <c r="D5" s="5">
        <v>5.1518600611000004E-3</v>
      </c>
      <c r="E5" s="5">
        <v>5.4282662248499999E-3</v>
      </c>
      <c r="F5" s="5">
        <v>4.0450825999700001E-3</v>
      </c>
      <c r="G5" s="5">
        <v>5.9381656231800002E-3</v>
      </c>
      <c r="I5" s="5">
        <v>7.2656914850899998E-3</v>
      </c>
      <c r="J5" s="5">
        <v>7.21232863468E-3</v>
      </c>
      <c r="K5" s="5">
        <v>5.5338926306700001E-3</v>
      </c>
      <c r="L5" s="5">
        <v>6.2395111665699996E-3</v>
      </c>
      <c r="M5" s="5">
        <v>3.8330653303900002E-3</v>
      </c>
      <c r="N5" s="5">
        <v>5.7131974861900003E-3</v>
      </c>
      <c r="O5" s="5">
        <v>6.8621610290999996E-3</v>
      </c>
      <c r="Q5" s="5">
        <v>1.04696762426E-2</v>
      </c>
      <c r="R5" s="5">
        <v>9.0952267869900006E-3</v>
      </c>
      <c r="S5" s="5">
        <v>9.2932088089499997E-3</v>
      </c>
      <c r="T5" s="5">
        <v>1.2269842513500001E-2</v>
      </c>
      <c r="U5" s="5">
        <v>8.2194493959200001E-3</v>
      </c>
      <c r="V5" s="5">
        <v>6.0491217841299998E-3</v>
      </c>
      <c r="W5" s="5">
        <v>8.9969845271599992E-3</v>
      </c>
      <c r="Y5" s="5">
        <v>6.8751023080700002E-3</v>
      </c>
      <c r="Z5" s="5">
        <v>5.7306590257900003E-3</v>
      </c>
      <c r="AA5" s="5">
        <v>9.5265588914499998E-3</v>
      </c>
      <c r="AB5" s="5">
        <v>1.0851217747800001E-2</v>
      </c>
      <c r="AD5" s="5">
        <v>6.1336717428100004E-3</v>
      </c>
      <c r="AE5" s="5">
        <v>8.8345225959899996E-3</v>
      </c>
      <c r="AF5" s="5">
        <v>7.72002058672E-3</v>
      </c>
      <c r="AG5" s="5">
        <v>1.00492984452E-2</v>
      </c>
      <c r="AI5" s="5">
        <v>4.9350649350600002E-3</v>
      </c>
      <c r="AJ5" s="5">
        <v>5.1993067590999998E-3</v>
      </c>
      <c r="AK5" s="5">
        <v>6.0389788635699998E-3</v>
      </c>
      <c r="AL5" s="5">
        <v>2.78940027894E-3</v>
      </c>
      <c r="AN5" s="5">
        <v>7.5827205882400004E-3</v>
      </c>
      <c r="AO5" s="5">
        <v>5.3578262533500003E-3</v>
      </c>
      <c r="AP5" s="5">
        <v>4.6662609048499998E-3</v>
      </c>
    </row>
    <row r="6" spans="1:42" x14ac:dyDescent="0.25">
      <c r="A6" s="5" t="s">
        <v>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I6" s="5">
        <v>0</v>
      </c>
      <c r="J6" s="5">
        <v>0</v>
      </c>
      <c r="K6" s="5">
        <v>0</v>
      </c>
      <c r="L6" s="7">
        <v>2.1515555746799999E-5</v>
      </c>
      <c r="M6" s="5">
        <v>0</v>
      </c>
      <c r="N6" s="7">
        <v>2.7205702315199999E-5</v>
      </c>
      <c r="O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Y6" s="5">
        <v>0</v>
      </c>
      <c r="Z6" s="5">
        <v>0</v>
      </c>
      <c r="AA6" s="5">
        <v>0</v>
      </c>
      <c r="AB6" s="5">
        <v>0</v>
      </c>
      <c r="AD6" s="5">
        <v>0</v>
      </c>
      <c r="AE6" s="5">
        <v>0</v>
      </c>
      <c r="AF6" s="5">
        <v>0</v>
      </c>
      <c r="AG6" s="5">
        <v>0</v>
      </c>
      <c r="AI6" s="5">
        <v>0</v>
      </c>
      <c r="AJ6" s="5">
        <v>0</v>
      </c>
      <c r="AK6" s="5">
        <v>0</v>
      </c>
      <c r="AL6" s="5">
        <v>0</v>
      </c>
      <c r="AN6" s="5">
        <v>0</v>
      </c>
      <c r="AO6" s="5">
        <v>0</v>
      </c>
      <c r="AP6" s="5">
        <v>0</v>
      </c>
    </row>
    <row r="7" spans="1:42" x14ac:dyDescent="0.25">
      <c r="A7" s="5" t="s">
        <v>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I7" s="7">
        <v>2.67612946044E-6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7">
        <v>2.20648264601E-5</v>
      </c>
      <c r="P7" s="7"/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Y7" s="5">
        <v>1.6369291209700001E-4</v>
      </c>
      <c r="Z7" s="5">
        <v>0</v>
      </c>
      <c r="AA7" s="5">
        <v>2.8868360277100002E-4</v>
      </c>
      <c r="AB7" s="5">
        <v>2.4113817217300001E-4</v>
      </c>
      <c r="AD7" s="5">
        <v>0</v>
      </c>
      <c r="AE7" s="5">
        <v>0</v>
      </c>
      <c r="AF7" s="5">
        <v>0</v>
      </c>
      <c r="AG7" s="5">
        <v>0</v>
      </c>
      <c r="AI7" s="5">
        <v>0</v>
      </c>
      <c r="AJ7" s="5">
        <v>0</v>
      </c>
      <c r="AK7" s="5">
        <v>0</v>
      </c>
      <c r="AL7" s="5">
        <v>0</v>
      </c>
      <c r="AN7" s="5">
        <v>0</v>
      </c>
      <c r="AO7" s="5">
        <v>0</v>
      </c>
      <c r="AP7" s="5">
        <v>0</v>
      </c>
    </row>
    <row r="8" spans="1:42" x14ac:dyDescent="0.25">
      <c r="I8" s="7"/>
      <c r="O8" s="7"/>
      <c r="P8" s="7"/>
    </row>
    <row r="9" spans="1:42" x14ac:dyDescent="0.25">
      <c r="A9" s="5" t="s">
        <v>5</v>
      </c>
      <c r="C9" s="7">
        <v>9.4622299321900005E-5</v>
      </c>
      <c r="D9" s="7">
        <v>5.9905349547699999E-5</v>
      </c>
      <c r="E9" s="5">
        <v>0</v>
      </c>
      <c r="F9" s="5">
        <v>0</v>
      </c>
      <c r="G9" s="7">
        <v>4.3030185675299998E-5</v>
      </c>
      <c r="H9" s="7"/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Q9" s="7">
        <v>3.6479708162300001E-5</v>
      </c>
      <c r="R9" s="5">
        <v>0</v>
      </c>
      <c r="S9" s="5">
        <v>0</v>
      </c>
      <c r="T9" s="5">
        <v>0</v>
      </c>
      <c r="U9" s="5">
        <v>0</v>
      </c>
      <c r="V9" s="7">
        <v>3.6440492675500003E-5</v>
      </c>
      <c r="W9" s="5">
        <v>0</v>
      </c>
      <c r="Y9" s="5">
        <v>0</v>
      </c>
      <c r="Z9" s="5">
        <v>0</v>
      </c>
      <c r="AA9" s="5">
        <v>0</v>
      </c>
      <c r="AB9" s="5">
        <v>0</v>
      </c>
      <c r="AD9" s="5">
        <v>0</v>
      </c>
      <c r="AE9" s="5">
        <v>0</v>
      </c>
      <c r="AF9" s="5">
        <v>0</v>
      </c>
      <c r="AG9" s="5">
        <v>0</v>
      </c>
      <c r="AI9" s="5">
        <v>0</v>
      </c>
      <c r="AJ9" s="5">
        <v>0</v>
      </c>
      <c r="AK9" s="5">
        <v>0</v>
      </c>
      <c r="AL9" s="5">
        <v>0</v>
      </c>
      <c r="AN9" s="5">
        <v>0</v>
      </c>
      <c r="AO9" s="5">
        <v>0</v>
      </c>
      <c r="AP9" s="5">
        <v>0</v>
      </c>
    </row>
    <row r="10" spans="1:42" x14ac:dyDescent="0.25">
      <c r="A10" s="5" t="s">
        <v>6</v>
      </c>
      <c r="C10" s="7">
        <v>3.1540766440599998E-5</v>
      </c>
      <c r="D10" s="5">
        <v>1.39779148945E-4</v>
      </c>
      <c r="E10" s="5">
        <v>1.09001329816E-4</v>
      </c>
      <c r="F10" s="5">
        <v>2.16149451907E-4</v>
      </c>
      <c r="G10" s="5">
        <v>1.29090557026E-4</v>
      </c>
      <c r="I10" s="7">
        <v>5.3522589208799999E-6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Q10" s="7">
        <v>3.6479708162300001E-5</v>
      </c>
      <c r="R10" s="7">
        <v>2.3747328425600001E-5</v>
      </c>
      <c r="S10" s="7">
        <v>4.6120142972399997E-5</v>
      </c>
      <c r="T10" s="7">
        <v>1.5670296952099999E-5</v>
      </c>
      <c r="U10" s="5">
        <v>0</v>
      </c>
      <c r="V10" s="7">
        <v>7.2880985350900002E-5</v>
      </c>
      <c r="W10" s="7">
        <v>7.4150971377699997E-5</v>
      </c>
      <c r="X10" s="7"/>
      <c r="Y10" s="5">
        <v>4.91078736291E-4</v>
      </c>
      <c r="Z10" s="5">
        <v>1.07449856734E-3</v>
      </c>
      <c r="AA10" s="5">
        <v>0</v>
      </c>
      <c r="AB10" s="5">
        <v>0</v>
      </c>
      <c r="AD10" s="5">
        <v>0</v>
      </c>
      <c r="AE10" s="5">
        <v>0</v>
      </c>
      <c r="AF10" s="5">
        <v>0</v>
      </c>
      <c r="AG10" s="5">
        <v>0</v>
      </c>
      <c r="AI10" s="5">
        <v>0</v>
      </c>
      <c r="AJ10" s="5">
        <v>0</v>
      </c>
      <c r="AK10" s="5">
        <v>0</v>
      </c>
      <c r="AL10" s="5">
        <v>4.6490004649000003E-4</v>
      </c>
      <c r="AN10" s="5">
        <v>0</v>
      </c>
      <c r="AO10" s="5">
        <v>0</v>
      </c>
      <c r="AP10" s="5">
        <v>0</v>
      </c>
    </row>
    <row r="11" spans="1:42" x14ac:dyDescent="0.25">
      <c r="A11" s="5" t="s">
        <v>7</v>
      </c>
      <c r="C11" s="7">
        <v>3.1540766440599998E-5</v>
      </c>
      <c r="D11" s="5">
        <v>0</v>
      </c>
      <c r="E11" s="5">
        <v>0</v>
      </c>
      <c r="F11" s="7">
        <v>3.0878493129500001E-5</v>
      </c>
      <c r="G11" s="7">
        <v>4.3030185675299998E-5</v>
      </c>
      <c r="H11" s="7"/>
      <c r="I11" s="7">
        <v>1.07045178418E-5</v>
      </c>
      <c r="J11" s="7">
        <v>3.8672003403099998E-5</v>
      </c>
      <c r="K11" s="5">
        <v>0</v>
      </c>
      <c r="L11" s="7">
        <v>2.1515555746799999E-5</v>
      </c>
      <c r="M11" s="7">
        <v>3.7395759320899997E-5</v>
      </c>
      <c r="N11" s="5">
        <v>0</v>
      </c>
      <c r="O11" s="5">
        <v>0</v>
      </c>
      <c r="Q11" s="5">
        <v>0</v>
      </c>
      <c r="R11" s="5">
        <v>0</v>
      </c>
      <c r="S11" s="5">
        <v>0</v>
      </c>
      <c r="T11" s="7">
        <v>1.5670296952099999E-5</v>
      </c>
      <c r="U11" s="5">
        <v>0</v>
      </c>
      <c r="V11" s="5">
        <v>0</v>
      </c>
      <c r="W11" s="7">
        <v>2.47169904592E-5</v>
      </c>
      <c r="X11" s="7"/>
      <c r="Y11" s="5">
        <v>0</v>
      </c>
      <c r="Z11" s="5">
        <v>0</v>
      </c>
      <c r="AA11" s="5">
        <v>0</v>
      </c>
      <c r="AB11" s="5">
        <v>0</v>
      </c>
      <c r="AD11" s="5">
        <v>0</v>
      </c>
      <c r="AE11" s="5">
        <v>0</v>
      </c>
      <c r="AF11" s="5">
        <v>0</v>
      </c>
      <c r="AG11" s="5">
        <v>0</v>
      </c>
      <c r="AI11" s="5">
        <v>0</v>
      </c>
      <c r="AJ11" s="5">
        <v>0</v>
      </c>
      <c r="AK11" s="5">
        <v>0</v>
      </c>
      <c r="AL11" s="5">
        <v>0</v>
      </c>
      <c r="AN11" s="5">
        <v>0</v>
      </c>
      <c r="AO11" s="5">
        <v>0</v>
      </c>
      <c r="AP11" s="5">
        <v>0</v>
      </c>
    </row>
    <row r="12" spans="1:42" x14ac:dyDescent="0.25">
      <c r="A12" s="5" t="s">
        <v>8</v>
      </c>
      <c r="C12" s="7">
        <v>3.1540766440599998E-5</v>
      </c>
      <c r="D12" s="7">
        <v>7.9873799396999997E-5</v>
      </c>
      <c r="E12" s="7">
        <v>6.5400797889699993E-5</v>
      </c>
      <c r="F12" s="5">
        <v>0</v>
      </c>
      <c r="G12" s="7">
        <v>2.15150928376E-5</v>
      </c>
      <c r="H12" s="7"/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Q12" s="7">
        <v>1.8239854081199999E-5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Y12" s="5">
        <v>0</v>
      </c>
      <c r="Z12" s="5">
        <v>0</v>
      </c>
      <c r="AA12" s="5">
        <v>0</v>
      </c>
      <c r="AB12" s="5">
        <v>0</v>
      </c>
      <c r="AD12" s="5">
        <v>0</v>
      </c>
      <c r="AE12" s="5">
        <v>0</v>
      </c>
      <c r="AF12" s="5">
        <v>0</v>
      </c>
      <c r="AG12" s="5">
        <v>0</v>
      </c>
      <c r="AI12" s="5">
        <v>0</v>
      </c>
      <c r="AJ12" s="5">
        <v>0</v>
      </c>
      <c r="AK12" s="5">
        <v>0</v>
      </c>
      <c r="AL12" s="5">
        <v>0</v>
      </c>
      <c r="AN12" s="5">
        <v>0</v>
      </c>
      <c r="AO12" s="5">
        <v>0</v>
      </c>
      <c r="AP12" s="5">
        <v>0</v>
      </c>
    </row>
    <row r="13" spans="1:42" x14ac:dyDescent="0.25">
      <c r="A13" s="5" t="s">
        <v>9</v>
      </c>
      <c r="C13" s="5">
        <v>1.5770383220300001E-4</v>
      </c>
      <c r="D13" s="5">
        <v>1.39779148945E-4</v>
      </c>
      <c r="E13" s="7">
        <v>4.3600531926500001E-5</v>
      </c>
      <c r="F13" s="7">
        <v>6.1756986259100006E-5</v>
      </c>
      <c r="G13" s="5">
        <v>0</v>
      </c>
      <c r="I13" s="5">
        <v>0</v>
      </c>
      <c r="J13" s="5">
        <v>0</v>
      </c>
      <c r="K13" s="7">
        <v>3.9387136161300003E-5</v>
      </c>
      <c r="L13" s="5">
        <v>0</v>
      </c>
      <c r="M13" s="5">
        <v>0</v>
      </c>
      <c r="N13" s="5">
        <v>0</v>
      </c>
      <c r="O13" s="7">
        <v>2.20648264601E-5</v>
      </c>
      <c r="P13" s="7"/>
      <c r="Q13" s="7">
        <v>5.4719562243499997E-5</v>
      </c>
      <c r="R13" s="5">
        <v>0</v>
      </c>
      <c r="S13" s="7">
        <v>2.3060071486199999E-5</v>
      </c>
      <c r="T13" s="7">
        <v>6.2681187808499999E-5</v>
      </c>
      <c r="U13" s="7">
        <v>9.9029510794200004E-5</v>
      </c>
      <c r="V13" s="7">
        <v>3.6440492675500003E-5</v>
      </c>
      <c r="W13" s="5">
        <v>0</v>
      </c>
      <c r="Y13" s="5">
        <v>0</v>
      </c>
      <c r="Z13" s="5">
        <v>0</v>
      </c>
      <c r="AA13" s="5">
        <v>2.8868360277100002E-4</v>
      </c>
      <c r="AB13" s="5">
        <v>0</v>
      </c>
      <c r="AD13" s="5">
        <v>0</v>
      </c>
      <c r="AE13" s="5">
        <v>0</v>
      </c>
      <c r="AF13" s="5">
        <v>0</v>
      </c>
      <c r="AG13" s="5">
        <v>0</v>
      </c>
      <c r="AI13" s="5">
        <v>2.5974025974000002E-4</v>
      </c>
      <c r="AJ13" s="5">
        <v>0</v>
      </c>
      <c r="AK13" s="5">
        <v>2.7449903925299998E-4</v>
      </c>
      <c r="AL13" s="5">
        <v>0</v>
      </c>
      <c r="AN13" s="5">
        <v>0</v>
      </c>
      <c r="AO13" s="5">
        <v>0</v>
      </c>
      <c r="AP13" s="5">
        <v>0</v>
      </c>
    </row>
    <row r="14" spans="1:42" x14ac:dyDescent="0.25">
      <c r="E14" s="7"/>
      <c r="F14" s="7"/>
      <c r="K14" s="7"/>
      <c r="O14" s="7"/>
      <c r="P14" s="7"/>
      <c r="Q14" s="7"/>
      <c r="S14" s="7"/>
      <c r="T14" s="7"/>
      <c r="U14" s="7"/>
      <c r="V14" s="7"/>
    </row>
    <row r="15" spans="1:42" x14ac:dyDescent="0.25">
      <c r="E15" s="7"/>
      <c r="F15" s="7"/>
      <c r="K15" s="7"/>
      <c r="O15" s="7"/>
      <c r="P15" s="7"/>
      <c r="Q15" s="7"/>
      <c r="S15" s="7"/>
      <c r="T15" s="7"/>
      <c r="U15" s="7"/>
      <c r="V15" s="7"/>
    </row>
    <row r="16" spans="1:42" x14ac:dyDescent="0.25">
      <c r="E16" s="7"/>
      <c r="F16" s="7"/>
      <c r="K16" s="7"/>
      <c r="O16" s="7"/>
      <c r="P16" s="7"/>
      <c r="Q16" s="7"/>
      <c r="S16" s="7"/>
      <c r="T16" s="7"/>
      <c r="U16" s="7"/>
      <c r="V16" s="7"/>
    </row>
    <row r="17" spans="1:49" x14ac:dyDescent="0.25">
      <c r="A17" s="5" t="s">
        <v>19</v>
      </c>
      <c r="C17" s="7">
        <v>9.4622299321900005E-5</v>
      </c>
      <c r="D17" s="7">
        <v>5.9905349547699999E-5</v>
      </c>
      <c r="E17" s="5">
        <v>1.9620239366899999E-4</v>
      </c>
      <c r="F17" s="5">
        <v>2.16149451907E-4</v>
      </c>
      <c r="G17" s="5">
        <v>1.29090557026E-4</v>
      </c>
      <c r="I17" s="5">
        <v>9.5002595845599996E-4</v>
      </c>
      <c r="J17" s="5">
        <v>1.16016010209E-3</v>
      </c>
      <c r="K17" s="5">
        <v>1.06345267636E-3</v>
      </c>
      <c r="L17" s="5">
        <v>1.0112311201000001E-3</v>
      </c>
      <c r="M17" s="5">
        <v>4.3005123219000001E-4</v>
      </c>
      <c r="N17" s="5">
        <v>5.16908343989E-4</v>
      </c>
      <c r="O17" s="5">
        <v>6.1781514088399996E-4</v>
      </c>
      <c r="Q17" s="5">
        <v>7.6607387140900001E-4</v>
      </c>
      <c r="R17" s="5">
        <v>9.0239848017099997E-4</v>
      </c>
      <c r="S17" s="5">
        <v>1.1068834313400001E-3</v>
      </c>
      <c r="T17" s="5">
        <v>1.0969207866500001E-3</v>
      </c>
      <c r="U17" s="5">
        <v>7.2621641249100003E-4</v>
      </c>
      <c r="V17" s="5">
        <v>9.4745280956200001E-4</v>
      </c>
      <c r="W17" s="5">
        <v>1.01339660883E-3</v>
      </c>
      <c r="Y17" s="5">
        <v>1.14585038468E-3</v>
      </c>
      <c r="Z17" s="5">
        <v>7.1633237822299998E-4</v>
      </c>
      <c r="AA17" s="5">
        <v>1.1547344110900001E-3</v>
      </c>
      <c r="AB17" s="5">
        <v>7.2341451651800005E-4</v>
      </c>
      <c r="AD17" s="5">
        <v>5.2876480541500003E-3</v>
      </c>
      <c r="AE17" s="5">
        <v>4.0774719673799999E-3</v>
      </c>
      <c r="AF17" s="5">
        <v>7.7200205867200002E-4</v>
      </c>
      <c r="AG17" s="5">
        <v>1.7064846416399999E-3</v>
      </c>
      <c r="AI17" s="5">
        <v>2.0779220779200002E-3</v>
      </c>
      <c r="AJ17" s="5">
        <v>1.1554015020199999E-3</v>
      </c>
      <c r="AK17" s="5">
        <v>5.4899807850700003E-4</v>
      </c>
      <c r="AL17" s="5">
        <v>0</v>
      </c>
      <c r="AN17" s="5">
        <v>4.1360294117599996E-3</v>
      </c>
      <c r="AO17" s="5">
        <v>1.53080750096E-3</v>
      </c>
      <c r="AP17" s="5">
        <v>4.0576181781300003E-4</v>
      </c>
    </row>
    <row r="18" spans="1:49" x14ac:dyDescent="0.25">
      <c r="A18" s="5" t="s">
        <v>20</v>
      </c>
      <c r="C18" s="7">
        <v>9.4622299321900005E-5</v>
      </c>
      <c r="D18" s="5">
        <v>1.39779148945E-4</v>
      </c>
      <c r="E18" s="7">
        <v>8.7201063853000003E-5</v>
      </c>
      <c r="F18" s="5">
        <v>3.0878493129499998E-4</v>
      </c>
      <c r="G18" s="5">
        <v>1.50605649863E-4</v>
      </c>
      <c r="I18" s="5">
        <v>1.3701782837399999E-3</v>
      </c>
      <c r="J18" s="5">
        <v>8.8945607827200005E-4</v>
      </c>
      <c r="K18" s="5">
        <v>9.0590413171099998E-4</v>
      </c>
      <c r="L18" s="5">
        <v>9.6820000860600003E-4</v>
      </c>
      <c r="M18" s="5">
        <v>8.0400882539899995E-4</v>
      </c>
      <c r="N18" s="5">
        <v>5.9852545093499999E-4</v>
      </c>
      <c r="O18" s="5">
        <v>6.8400962026399996E-4</v>
      </c>
      <c r="Q18" s="5">
        <v>7.4783401732799999E-4</v>
      </c>
      <c r="R18" s="5">
        <v>1.1636190928499999E-3</v>
      </c>
      <c r="S18" s="5">
        <v>6.4568200161400002E-4</v>
      </c>
      <c r="T18" s="5">
        <v>1.0812504896999999E-3</v>
      </c>
      <c r="U18" s="5">
        <v>8.9126559714800002E-4</v>
      </c>
      <c r="V18" s="5">
        <v>4.3728591210599998E-4</v>
      </c>
      <c r="W18" s="5">
        <v>3.4603786642899999E-4</v>
      </c>
      <c r="Y18" s="5">
        <v>9.8215747258099994E-4</v>
      </c>
      <c r="Z18" s="5">
        <v>3.5816618911200003E-4</v>
      </c>
      <c r="AA18" s="5">
        <v>1.7321016166300001E-3</v>
      </c>
      <c r="AB18" s="5">
        <v>1.4468290330399999E-3</v>
      </c>
      <c r="AD18" s="5">
        <v>4.2301184433200002E-3</v>
      </c>
      <c r="AE18" s="5">
        <v>3.73768263677E-3</v>
      </c>
      <c r="AF18" s="5">
        <v>4.37467833248E-3</v>
      </c>
      <c r="AG18" s="5">
        <v>5.4986727341700004E-3</v>
      </c>
      <c r="AI18" s="5">
        <v>2.5974025974000001E-3</v>
      </c>
      <c r="AJ18" s="5">
        <v>2.5996533795499999E-3</v>
      </c>
      <c r="AK18" s="5">
        <v>8.2349711775999996E-4</v>
      </c>
      <c r="AL18" s="5">
        <v>1.39470013947E-3</v>
      </c>
      <c r="AN18" s="5">
        <v>2.2977941176500001E-3</v>
      </c>
      <c r="AO18" s="5">
        <v>7.6540375047799995E-4</v>
      </c>
      <c r="AP18" s="5">
        <v>1.0144045445300001E-3</v>
      </c>
    </row>
    <row r="19" spans="1:49" x14ac:dyDescent="0.25">
      <c r="A19" s="5" t="s">
        <v>21</v>
      </c>
      <c r="C19" s="5">
        <v>0</v>
      </c>
      <c r="D19" s="5">
        <v>0</v>
      </c>
      <c r="E19" s="7">
        <v>2.1800265963199999E-5</v>
      </c>
      <c r="F19" s="5">
        <v>0</v>
      </c>
      <c r="G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1.1154337949199999E-3</v>
      </c>
      <c r="O19" s="5">
        <v>1.54453785221E-3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Y19" s="5">
        <v>0</v>
      </c>
      <c r="Z19" s="5">
        <v>0</v>
      </c>
      <c r="AA19" s="5">
        <v>8.6605080831399998E-4</v>
      </c>
      <c r="AB19" s="5">
        <v>2.6525198938999999E-3</v>
      </c>
      <c r="AD19" s="5">
        <v>0</v>
      </c>
      <c r="AE19" s="5">
        <v>0</v>
      </c>
      <c r="AF19" s="5">
        <v>0</v>
      </c>
      <c r="AG19" s="5">
        <v>0</v>
      </c>
      <c r="AI19" s="5">
        <v>0</v>
      </c>
      <c r="AJ19" s="5">
        <v>0</v>
      </c>
      <c r="AK19" s="5">
        <v>0</v>
      </c>
      <c r="AL19" s="5">
        <v>0</v>
      </c>
      <c r="AN19" s="5">
        <v>0</v>
      </c>
      <c r="AO19" s="5">
        <v>0</v>
      </c>
      <c r="AP19" s="5">
        <v>0</v>
      </c>
    </row>
    <row r="20" spans="1:49" x14ac:dyDescent="0.25">
      <c r="E20" s="7"/>
      <c r="F20" s="7"/>
      <c r="K20" s="7"/>
      <c r="O20" s="7"/>
      <c r="P20" s="7"/>
      <c r="Q20" s="7"/>
      <c r="S20" s="7"/>
      <c r="T20" s="7"/>
      <c r="U20" s="7"/>
      <c r="V20" s="7"/>
    </row>
    <row r="21" spans="1:49" x14ac:dyDescent="0.25">
      <c r="A21" s="5" t="s">
        <v>10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I21" s="7">
        <v>2.67612946044E-6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Q21" s="5">
        <v>0</v>
      </c>
      <c r="R21" s="5">
        <v>0</v>
      </c>
      <c r="S21" s="5">
        <v>0</v>
      </c>
      <c r="T21" s="5">
        <v>0</v>
      </c>
      <c r="U21" s="7">
        <v>3.3009836931399999E-5</v>
      </c>
      <c r="V21" s="7">
        <v>3.6440492675500003E-5</v>
      </c>
      <c r="W21" s="7">
        <v>2.47169904592E-5</v>
      </c>
      <c r="X21" s="7"/>
      <c r="Y21" s="5">
        <v>0</v>
      </c>
      <c r="Z21" s="5">
        <v>0</v>
      </c>
      <c r="AA21" s="5">
        <v>0</v>
      </c>
      <c r="AB21" s="5">
        <v>0</v>
      </c>
      <c r="AD21" s="5">
        <v>0</v>
      </c>
      <c r="AE21" s="5">
        <v>0</v>
      </c>
      <c r="AF21" s="5">
        <v>0</v>
      </c>
      <c r="AG21" s="5">
        <v>0</v>
      </c>
      <c r="AI21" s="5">
        <v>0</v>
      </c>
      <c r="AJ21" s="5">
        <v>0</v>
      </c>
      <c r="AK21" s="5">
        <v>0</v>
      </c>
      <c r="AL21" s="5">
        <v>0</v>
      </c>
      <c r="AN21" s="5">
        <v>0</v>
      </c>
      <c r="AO21" s="5">
        <v>0</v>
      </c>
      <c r="AP21" s="5">
        <v>0</v>
      </c>
    </row>
    <row r="22" spans="1:49" x14ac:dyDescent="0.25">
      <c r="A22" s="5" t="s">
        <v>11</v>
      </c>
      <c r="C22" s="5">
        <v>1.8924459864399999E-4</v>
      </c>
      <c r="D22" s="7">
        <v>7.9873799396999997E-5</v>
      </c>
      <c r="E22" s="5">
        <v>0</v>
      </c>
      <c r="F22" s="5">
        <v>1.54392465648E-4</v>
      </c>
      <c r="G22" s="5">
        <v>1.9363583553899999E-4</v>
      </c>
      <c r="I22" s="5">
        <v>5.4593040993000002E-4</v>
      </c>
      <c r="J22" s="5">
        <v>5.4140804764400002E-4</v>
      </c>
      <c r="K22" s="5">
        <v>9.0590413171099998E-4</v>
      </c>
      <c r="L22" s="5">
        <v>9.2516889711299996E-4</v>
      </c>
      <c r="M22" s="5">
        <v>5.7963426947399996E-4</v>
      </c>
      <c r="N22" s="5">
        <v>2.2308675898500001E-3</v>
      </c>
      <c r="O22" s="5">
        <v>1.9637695549500002E-3</v>
      </c>
      <c r="Q22" s="5">
        <v>1.22207022344E-3</v>
      </c>
      <c r="R22" s="5">
        <v>1.2348610781299999E-3</v>
      </c>
      <c r="S22" s="5">
        <v>1.3374841461999999E-3</v>
      </c>
      <c r="T22" s="5">
        <v>1.1909425683600001E-3</v>
      </c>
      <c r="U22" s="5">
        <v>7.2621641249100003E-4</v>
      </c>
      <c r="V22" s="5">
        <v>1.0567742875899999E-3</v>
      </c>
      <c r="W22" s="5">
        <v>8.4037767561399997E-4</v>
      </c>
      <c r="Y22" s="5">
        <v>4.9107873629099996E-3</v>
      </c>
      <c r="Z22" s="5">
        <v>8.2378223495700002E-3</v>
      </c>
      <c r="AA22" s="5">
        <v>8.9491916859099994E-3</v>
      </c>
      <c r="AB22" s="5">
        <v>8.6809741982200005E-3</v>
      </c>
      <c r="AD22" s="5">
        <v>1.90355329949E-3</v>
      </c>
      <c r="AE22" s="5">
        <v>4.0774719673799999E-3</v>
      </c>
      <c r="AF22" s="5">
        <v>1.54400411734E-3</v>
      </c>
      <c r="AG22" s="5">
        <v>3.2233598786499998E-3</v>
      </c>
      <c r="AI22" s="5">
        <v>1.6103896103899999E-2</v>
      </c>
      <c r="AJ22" s="5">
        <v>1.9641825534400002E-2</v>
      </c>
      <c r="AK22" s="5">
        <v>9.6074663738699995E-3</v>
      </c>
      <c r="AL22" s="5">
        <v>1.6271501627200001E-2</v>
      </c>
      <c r="AN22" s="5">
        <v>7.3529411764700001E-3</v>
      </c>
      <c r="AO22" s="5">
        <v>1.0715652506700001E-2</v>
      </c>
      <c r="AP22" s="5">
        <v>6.69506999391E-3</v>
      </c>
    </row>
    <row r="23" spans="1:49" ht="12" customHeight="1" x14ac:dyDescent="0.25">
      <c r="A23" s="5" t="s">
        <v>12</v>
      </c>
      <c r="C23" s="7">
        <v>6.3081532881199996E-5</v>
      </c>
      <c r="D23" s="7">
        <v>1.9968449849200001E-5</v>
      </c>
      <c r="E23" s="5">
        <v>1.09001329816E-4</v>
      </c>
      <c r="F23" s="7">
        <v>6.1756986259100006E-5</v>
      </c>
      <c r="G23" s="7">
        <v>2.15150928376E-5</v>
      </c>
      <c r="H23" s="7"/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Y23" s="5">
        <v>0</v>
      </c>
      <c r="Z23" s="5">
        <v>0</v>
      </c>
      <c r="AA23" s="5">
        <v>0</v>
      </c>
      <c r="AB23" s="5">
        <v>0</v>
      </c>
      <c r="AD23" s="5">
        <v>0</v>
      </c>
      <c r="AE23" s="5">
        <v>0</v>
      </c>
      <c r="AF23" s="5">
        <v>0</v>
      </c>
      <c r="AG23" s="5">
        <v>0</v>
      </c>
      <c r="AI23" s="5">
        <v>0</v>
      </c>
      <c r="AJ23" s="5">
        <v>0</v>
      </c>
      <c r="AK23" s="5">
        <v>0</v>
      </c>
      <c r="AL23" s="5">
        <v>0</v>
      </c>
      <c r="AN23" s="5">
        <v>0</v>
      </c>
      <c r="AO23" s="5">
        <v>0</v>
      </c>
      <c r="AP23" s="5">
        <v>0</v>
      </c>
    </row>
    <row r="24" spans="1:49" x14ac:dyDescent="0.25">
      <c r="A24" s="5" t="s">
        <v>13</v>
      </c>
      <c r="C24" s="7">
        <v>3.1540766440599998E-5</v>
      </c>
      <c r="D24" s="7">
        <v>1.9968449849200001E-5</v>
      </c>
      <c r="E24" s="5">
        <v>0</v>
      </c>
      <c r="F24" s="5">
        <v>0</v>
      </c>
      <c r="G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Y24" s="5">
        <v>0</v>
      </c>
      <c r="Z24" s="5">
        <v>0</v>
      </c>
      <c r="AA24" s="5">
        <v>0</v>
      </c>
      <c r="AB24" s="5">
        <v>0</v>
      </c>
      <c r="AD24" s="5">
        <v>0</v>
      </c>
      <c r="AE24" s="5">
        <v>0</v>
      </c>
      <c r="AF24" s="5">
        <v>0</v>
      </c>
      <c r="AG24" s="5">
        <v>0</v>
      </c>
      <c r="AI24" s="5">
        <v>0</v>
      </c>
      <c r="AJ24" s="5">
        <v>0</v>
      </c>
      <c r="AK24" s="5">
        <v>0</v>
      </c>
      <c r="AL24" s="5">
        <v>0</v>
      </c>
      <c r="AN24" s="5">
        <v>0</v>
      </c>
      <c r="AO24" s="5">
        <v>0</v>
      </c>
      <c r="AP24" s="5">
        <v>0</v>
      </c>
    </row>
    <row r="25" spans="1:49" x14ac:dyDescent="0.25">
      <c r="A25" s="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Y25" s="5">
        <v>0</v>
      </c>
      <c r="Z25" s="5">
        <v>0</v>
      </c>
      <c r="AA25" s="5">
        <v>0</v>
      </c>
      <c r="AB25" s="5">
        <v>0</v>
      </c>
      <c r="AD25" s="5">
        <v>0</v>
      </c>
      <c r="AE25" s="5">
        <v>0</v>
      </c>
      <c r="AF25" s="5">
        <v>0</v>
      </c>
      <c r="AG25" s="5">
        <v>0</v>
      </c>
      <c r="AI25" s="5">
        <v>0</v>
      </c>
      <c r="AJ25" s="5">
        <v>0</v>
      </c>
      <c r="AK25" s="5">
        <v>0</v>
      </c>
      <c r="AL25" s="5">
        <v>0</v>
      </c>
      <c r="AN25" s="5">
        <v>0</v>
      </c>
      <c r="AO25" s="5">
        <v>0</v>
      </c>
      <c r="AP25" s="5">
        <v>0</v>
      </c>
    </row>
    <row r="26" spans="1:49" x14ac:dyDescent="0.25">
      <c r="A26" s="5" t="s">
        <v>15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7">
        <v>2.20648264601E-5</v>
      </c>
      <c r="P26" s="7"/>
      <c r="Q26" s="5">
        <v>0</v>
      </c>
      <c r="R26" s="5">
        <v>0</v>
      </c>
      <c r="S26" s="7">
        <v>2.3060071486199999E-5</v>
      </c>
      <c r="T26" s="5">
        <v>0</v>
      </c>
      <c r="U26" s="5">
        <v>0</v>
      </c>
      <c r="V26" s="5">
        <v>0</v>
      </c>
      <c r="W26" s="5">
        <v>0</v>
      </c>
      <c r="Y26" s="5">
        <v>0</v>
      </c>
      <c r="Z26" s="5">
        <v>0</v>
      </c>
      <c r="AA26" s="5">
        <v>0</v>
      </c>
      <c r="AB26" s="5">
        <v>0</v>
      </c>
      <c r="AD26" s="5">
        <v>0</v>
      </c>
      <c r="AE26" s="5">
        <v>0</v>
      </c>
      <c r="AF26" s="5">
        <v>0</v>
      </c>
      <c r="AG26" s="5">
        <v>0</v>
      </c>
      <c r="AI26" s="5">
        <v>0</v>
      </c>
      <c r="AJ26" s="5">
        <v>0</v>
      </c>
      <c r="AK26" s="5">
        <v>0</v>
      </c>
      <c r="AL26" s="5">
        <v>0</v>
      </c>
      <c r="AN26" s="5">
        <v>0</v>
      </c>
      <c r="AO26" s="5">
        <v>0</v>
      </c>
      <c r="AP26" s="5">
        <v>0</v>
      </c>
    </row>
    <row r="27" spans="1:49" x14ac:dyDescent="0.25">
      <c r="A27" s="5" t="s">
        <v>16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7">
        <v>5.4411404630399998E-5</v>
      </c>
      <c r="O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Y27" s="5">
        <v>0</v>
      </c>
      <c r="Z27" s="5">
        <v>0</v>
      </c>
      <c r="AA27" s="5">
        <v>0</v>
      </c>
      <c r="AB27" s="5">
        <v>0</v>
      </c>
      <c r="AD27" s="5">
        <v>0</v>
      </c>
      <c r="AE27" s="5">
        <v>3.3978933061500001E-4</v>
      </c>
      <c r="AF27" s="5">
        <v>0</v>
      </c>
      <c r="AG27" s="5">
        <v>0</v>
      </c>
      <c r="AI27" s="5">
        <v>0</v>
      </c>
      <c r="AJ27" s="5">
        <v>0</v>
      </c>
      <c r="AK27" s="5">
        <v>0</v>
      </c>
      <c r="AL27" s="5">
        <v>0</v>
      </c>
      <c r="AN27" s="5">
        <v>0</v>
      </c>
      <c r="AO27" s="5">
        <v>0</v>
      </c>
      <c r="AP27" s="5">
        <v>0</v>
      </c>
    </row>
    <row r="28" spans="1:49" x14ac:dyDescent="0.25">
      <c r="A28" s="5" t="s">
        <v>17</v>
      </c>
      <c r="C28" s="7">
        <v>6.3081532881199996E-5</v>
      </c>
      <c r="D28" s="5">
        <v>0</v>
      </c>
      <c r="E28" s="5">
        <v>0</v>
      </c>
      <c r="F28" s="7">
        <v>6.1756986259100006E-5</v>
      </c>
      <c r="G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Y28" s="5">
        <v>0</v>
      </c>
      <c r="Z28" s="5">
        <v>0</v>
      </c>
      <c r="AA28" s="5">
        <v>0</v>
      </c>
      <c r="AB28" s="5">
        <v>0</v>
      </c>
      <c r="AD28" s="5">
        <v>0</v>
      </c>
      <c r="AE28" s="5">
        <v>0</v>
      </c>
      <c r="AF28" s="5">
        <v>0</v>
      </c>
      <c r="AG28" s="5">
        <v>0</v>
      </c>
      <c r="AI28" s="5">
        <v>0</v>
      </c>
      <c r="AJ28" s="5">
        <v>0</v>
      </c>
      <c r="AK28" s="5">
        <v>0</v>
      </c>
      <c r="AL28" s="5">
        <v>0</v>
      </c>
      <c r="AN28" s="5">
        <v>0</v>
      </c>
      <c r="AO28" s="5">
        <v>0</v>
      </c>
      <c r="AP28" s="5">
        <v>0</v>
      </c>
    </row>
    <row r="29" spans="1:49" x14ac:dyDescent="0.25">
      <c r="A29" s="5" t="s">
        <v>18</v>
      </c>
      <c r="C29" s="5">
        <v>0</v>
      </c>
      <c r="D29" s="7">
        <v>1.9968449849200001E-5</v>
      </c>
      <c r="E29" s="5">
        <v>0</v>
      </c>
      <c r="F29" s="5">
        <v>0</v>
      </c>
      <c r="G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Y29" s="5">
        <v>1.6369291209700001E-4</v>
      </c>
      <c r="Z29" s="5">
        <v>0</v>
      </c>
      <c r="AA29" s="5">
        <v>0</v>
      </c>
      <c r="AB29" s="5">
        <v>0</v>
      </c>
      <c r="AD29" s="5">
        <v>0</v>
      </c>
      <c r="AE29" s="5">
        <v>0</v>
      </c>
      <c r="AF29" s="5">
        <v>0</v>
      </c>
      <c r="AG29" s="5">
        <v>0</v>
      </c>
      <c r="AI29" s="5">
        <v>0</v>
      </c>
      <c r="AJ29" s="5">
        <v>0</v>
      </c>
      <c r="AK29" s="5">
        <v>0</v>
      </c>
      <c r="AL29" s="5">
        <v>0</v>
      </c>
      <c r="AN29" s="5">
        <v>0</v>
      </c>
      <c r="AO29" s="5">
        <v>0</v>
      </c>
      <c r="AP29" s="5">
        <v>0</v>
      </c>
    </row>
    <row r="31" spans="1:49" x14ac:dyDescent="0.25">
      <c r="A31" t="s">
        <v>67</v>
      </c>
      <c r="B31"/>
      <c r="C31">
        <v>1.5770383220300001E-4</v>
      </c>
      <c r="D31" s="1">
        <v>9.9842249246199997E-5</v>
      </c>
      <c r="E31">
        <v>1.09001329816E-4</v>
      </c>
      <c r="F31" s="1">
        <v>3.0878493129500001E-5</v>
      </c>
      <c r="G31">
        <v>1.0757546418799999E-4</v>
      </c>
      <c r="H31"/>
      <c r="I31">
        <v>0</v>
      </c>
      <c r="J31">
        <v>0</v>
      </c>
      <c r="K31" s="1">
        <v>3.9387136161300003E-5</v>
      </c>
      <c r="L31">
        <v>0</v>
      </c>
      <c r="M31">
        <v>0</v>
      </c>
      <c r="N31">
        <v>0</v>
      </c>
      <c r="O31">
        <v>0</v>
      </c>
      <c r="P31"/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Y31">
        <v>0</v>
      </c>
      <c r="Z31">
        <v>0</v>
      </c>
      <c r="AA31">
        <v>0</v>
      </c>
      <c r="AB31">
        <v>0</v>
      </c>
      <c r="AC31" s="36"/>
      <c r="AD31">
        <v>0</v>
      </c>
      <c r="AE31">
        <v>0</v>
      </c>
      <c r="AF31">
        <v>0</v>
      </c>
      <c r="AG31">
        <v>0</v>
      </c>
      <c r="AH31"/>
      <c r="AI31">
        <v>0</v>
      </c>
      <c r="AJ31">
        <v>0</v>
      </c>
      <c r="AK31">
        <v>0</v>
      </c>
      <c r="AL31">
        <v>0</v>
      </c>
      <c r="AM31" s="36"/>
      <c r="AN31">
        <v>0</v>
      </c>
      <c r="AO31">
        <v>0</v>
      </c>
      <c r="AP31">
        <v>0</v>
      </c>
      <c r="AQ31"/>
      <c r="AR31"/>
      <c r="AS31"/>
      <c r="AT31"/>
      <c r="AU31"/>
      <c r="AV31"/>
      <c r="AW31"/>
    </row>
    <row r="32" spans="1:49" x14ac:dyDescent="0.25">
      <c r="A32" t="s">
        <v>68</v>
      </c>
      <c r="B32"/>
      <c r="C32">
        <v>0</v>
      </c>
      <c r="D32">
        <v>0</v>
      </c>
      <c r="E32">
        <v>0</v>
      </c>
      <c r="F32">
        <v>0</v>
      </c>
      <c r="G32" s="1">
        <v>4.3030185675299998E-5</v>
      </c>
      <c r="H32" s="1"/>
      <c r="I32" s="1">
        <v>1.07045178418E-5</v>
      </c>
      <c r="J32">
        <v>0</v>
      </c>
      <c r="K32" s="1">
        <v>4.3325849777499999E-4</v>
      </c>
      <c r="L32" s="1">
        <v>4.3031111493599999E-5</v>
      </c>
      <c r="M32" s="1">
        <v>1.86978796604E-5</v>
      </c>
      <c r="N32">
        <v>0</v>
      </c>
      <c r="O32">
        <v>0</v>
      </c>
      <c r="P32"/>
      <c r="Q32" s="1">
        <v>3.6479708162300001E-5</v>
      </c>
      <c r="R32">
        <v>0</v>
      </c>
      <c r="S32" s="1">
        <v>2.3060071486199999E-5</v>
      </c>
      <c r="T32">
        <v>0</v>
      </c>
      <c r="U32">
        <v>0</v>
      </c>
      <c r="V32">
        <v>0</v>
      </c>
      <c r="W32" s="1">
        <v>2.47169904592E-5</v>
      </c>
      <c r="Y32">
        <v>0</v>
      </c>
      <c r="Z32">
        <v>0</v>
      </c>
      <c r="AA32">
        <v>0</v>
      </c>
      <c r="AB32">
        <v>0</v>
      </c>
      <c r="AC32" s="36"/>
      <c r="AD32">
        <v>0</v>
      </c>
      <c r="AE32">
        <v>0</v>
      </c>
      <c r="AF32">
        <v>0</v>
      </c>
      <c r="AG32">
        <v>0</v>
      </c>
      <c r="AH32"/>
      <c r="AI32">
        <v>0</v>
      </c>
      <c r="AJ32">
        <v>0</v>
      </c>
      <c r="AK32">
        <v>0</v>
      </c>
      <c r="AL32">
        <v>0</v>
      </c>
      <c r="AM32" s="36"/>
      <c r="AN32">
        <v>0</v>
      </c>
      <c r="AO32">
        <v>0</v>
      </c>
      <c r="AP32">
        <v>0</v>
      </c>
      <c r="AQ32"/>
      <c r="AR32"/>
      <c r="AS32"/>
      <c r="AT32"/>
      <c r="AU32"/>
      <c r="AV32"/>
      <c r="AW32"/>
    </row>
    <row r="34" spans="1:45" x14ac:dyDescent="0.25">
      <c r="A34" t="s">
        <v>88</v>
      </c>
      <c r="B34"/>
      <c r="C34">
        <v>2.50118277874E-2</v>
      </c>
      <c r="D34">
        <v>2.59190479043E-2</v>
      </c>
      <c r="E34">
        <v>3.3463408253600002E-2</v>
      </c>
      <c r="F34">
        <v>2.6277597653200001E-2</v>
      </c>
      <c r="G34">
        <v>3.2702941113199997E-2</v>
      </c>
      <c r="H34"/>
      <c r="I34">
        <v>5.7804396345500001E-4</v>
      </c>
      <c r="J34">
        <v>4.2539203743399999E-4</v>
      </c>
      <c r="K34">
        <v>6.4988774666199995E-4</v>
      </c>
      <c r="L34">
        <v>8.3910667412500002E-4</v>
      </c>
      <c r="M34">
        <v>5.4223851015300004E-4</v>
      </c>
      <c r="N34">
        <v>1.3874908180799999E-3</v>
      </c>
      <c r="O34">
        <v>1.21356545531E-3</v>
      </c>
      <c r="P34"/>
      <c r="Q34">
        <v>1.3862289101699999E-3</v>
      </c>
      <c r="R34">
        <v>1.40109237711E-3</v>
      </c>
      <c r="S34">
        <v>2.1445866482199998E-3</v>
      </c>
      <c r="T34">
        <v>1.1909425683600001E-3</v>
      </c>
      <c r="U34">
        <v>1.5514623357799999E-3</v>
      </c>
      <c r="V34">
        <v>1.2098243568300001E-2</v>
      </c>
      <c r="W34">
        <v>8.6509466607299999E-3</v>
      </c>
      <c r="Y34">
        <v>1.47323620887E-3</v>
      </c>
      <c r="Z34">
        <v>2.1489971346700001E-3</v>
      </c>
      <c r="AA34">
        <v>0</v>
      </c>
      <c r="AB34">
        <v>2.4113817217300001E-4</v>
      </c>
      <c r="AC34"/>
      <c r="AD34">
        <v>1.0575296108300001E-3</v>
      </c>
      <c r="AE34">
        <v>6.7957866123000003E-4</v>
      </c>
      <c r="AF34">
        <v>5.14668039115E-4</v>
      </c>
      <c r="AG34">
        <v>9.4804702313200004E-4</v>
      </c>
      <c r="AH34"/>
      <c r="AI34">
        <v>1.0389610389600001E-3</v>
      </c>
      <c r="AJ34">
        <v>5.7770075101100003E-4</v>
      </c>
      <c r="AK34">
        <v>1.6469942355199999E-3</v>
      </c>
      <c r="AL34">
        <v>1.39470013947E-3</v>
      </c>
      <c r="AM34"/>
      <c r="AN34">
        <v>6.8933823529399995E-4</v>
      </c>
      <c r="AO34">
        <v>7.6540375047799995E-4</v>
      </c>
      <c r="AP34">
        <v>1.8259281801600001E-3</v>
      </c>
    </row>
    <row r="35" spans="1:45" x14ac:dyDescent="0.25">
      <c r="A35" t="s">
        <v>89</v>
      </c>
      <c r="B35"/>
      <c r="C35">
        <v>4.4977132944300002E-2</v>
      </c>
      <c r="D35">
        <v>4.1853870884E-2</v>
      </c>
      <c r="E35">
        <v>4.2357916766600001E-2</v>
      </c>
      <c r="F35">
        <v>4.7120580515699999E-2</v>
      </c>
      <c r="G35">
        <v>4.6967447664499999E-2</v>
      </c>
      <c r="H35"/>
      <c r="I35">
        <v>3.7465812446099998E-4</v>
      </c>
      <c r="J35">
        <v>4.8340004253899998E-4</v>
      </c>
      <c r="K35">
        <v>3.1509708929100002E-4</v>
      </c>
      <c r="L35">
        <v>5.8092000516400005E-4</v>
      </c>
      <c r="M35">
        <v>4.3005123219000001E-4</v>
      </c>
      <c r="N35">
        <v>5.4411404630399997E-4</v>
      </c>
      <c r="O35">
        <v>1.1032413230100001E-3</v>
      </c>
      <c r="P35"/>
      <c r="Q35">
        <v>8.7551299589599995E-4</v>
      </c>
      <c r="R35">
        <v>7.1241985276699997E-4</v>
      </c>
      <c r="S35">
        <v>7.60982359045E-4</v>
      </c>
      <c r="T35">
        <v>7.3650395674999998E-4</v>
      </c>
      <c r="U35">
        <v>9.9029510794199993E-4</v>
      </c>
      <c r="V35">
        <v>1.1733838641500001E-2</v>
      </c>
      <c r="W35">
        <v>1.17900044491E-2</v>
      </c>
      <c r="Y35">
        <v>9.8215747258099994E-4</v>
      </c>
      <c r="Z35">
        <v>1.43266475645E-3</v>
      </c>
      <c r="AA35">
        <v>0</v>
      </c>
      <c r="AB35">
        <v>4.8227634434500001E-4</v>
      </c>
      <c r="AC35"/>
      <c r="AD35">
        <v>4.2301184433199998E-4</v>
      </c>
      <c r="AE35">
        <v>6.7957866123000003E-4</v>
      </c>
      <c r="AF35">
        <v>2.5733401955700002E-4</v>
      </c>
      <c r="AG35">
        <v>1.1376564277600001E-3</v>
      </c>
      <c r="AH35"/>
      <c r="AI35">
        <v>7.7922077922099996E-4</v>
      </c>
      <c r="AJ35">
        <v>1.44425187753E-3</v>
      </c>
      <c r="AK35">
        <v>3.2939884710399998E-3</v>
      </c>
      <c r="AL35">
        <v>5.11390051139E-3</v>
      </c>
      <c r="AM35"/>
      <c r="AN35">
        <v>4.5955882352899998E-4</v>
      </c>
      <c r="AO35">
        <v>3.0616150019100001E-3</v>
      </c>
      <c r="AP35">
        <v>3.85473726922E-3</v>
      </c>
    </row>
    <row r="36" spans="1:45" x14ac:dyDescent="0.25">
      <c r="A36" t="s">
        <v>90</v>
      </c>
      <c r="B36"/>
      <c r="C36">
        <v>6.6235609525300005E-4</v>
      </c>
      <c r="D36">
        <v>5.5911659577900005E-4</v>
      </c>
      <c r="E36">
        <v>6.9760851082400002E-4</v>
      </c>
      <c r="F36">
        <v>4.9405589007299998E-4</v>
      </c>
      <c r="G36">
        <v>3.0121129972700001E-4</v>
      </c>
      <c r="H36"/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/>
      <c r="Q36" s="1">
        <v>1.8239854081199999E-5</v>
      </c>
      <c r="R36" s="1">
        <v>2.3747328425600001E-5</v>
      </c>
      <c r="S36">
        <v>0</v>
      </c>
      <c r="T36" s="1">
        <v>3.1340593904300001E-5</v>
      </c>
      <c r="U36" s="1">
        <v>3.3009836931399999E-5</v>
      </c>
      <c r="V36">
        <v>2.5508344872799999E-4</v>
      </c>
      <c r="W36">
        <v>2.22452914133E-4</v>
      </c>
      <c r="Y36">
        <v>0</v>
      </c>
      <c r="Z36">
        <v>0</v>
      </c>
      <c r="AA36">
        <v>0</v>
      </c>
      <c r="AB36">
        <v>0</v>
      </c>
      <c r="AC36"/>
      <c r="AD36">
        <v>0</v>
      </c>
      <c r="AE36">
        <v>0</v>
      </c>
      <c r="AF36">
        <v>0</v>
      </c>
      <c r="AG36">
        <v>0</v>
      </c>
      <c r="AH36"/>
      <c r="AI36">
        <v>0</v>
      </c>
      <c r="AJ36">
        <v>0</v>
      </c>
      <c r="AK36">
        <v>0</v>
      </c>
      <c r="AL36">
        <v>0</v>
      </c>
      <c r="AM36"/>
      <c r="AN36">
        <v>0</v>
      </c>
      <c r="AO36">
        <v>0</v>
      </c>
      <c r="AP36">
        <v>0</v>
      </c>
      <c r="AS36" s="8">
        <f t="shared" ref="AS36" si="0">AQ4*$AI$1</f>
        <v>0</v>
      </c>
    </row>
    <row r="37" spans="1:45" x14ac:dyDescent="0.25">
      <c r="A37" t="s">
        <v>91</v>
      </c>
      <c r="B37"/>
      <c r="C37">
        <v>2.8386689796599997E-4</v>
      </c>
      <c r="D37">
        <v>2.1965294834200001E-4</v>
      </c>
      <c r="E37">
        <v>3.0520372348499998E-4</v>
      </c>
      <c r="F37">
        <v>1.8527095877700001E-4</v>
      </c>
      <c r="G37">
        <v>3.2272639256399998E-4</v>
      </c>
      <c r="H37"/>
      <c r="I37" s="1">
        <v>1.07045178418E-5</v>
      </c>
      <c r="J37">
        <v>0</v>
      </c>
      <c r="K37">
        <v>0</v>
      </c>
      <c r="L37" s="1">
        <v>2.1515555746799999E-5</v>
      </c>
      <c r="M37">
        <v>0</v>
      </c>
      <c r="N37">
        <v>0</v>
      </c>
      <c r="O37">
        <v>0</v>
      </c>
      <c r="P37"/>
      <c r="Q37" s="1">
        <v>1.8239854081199999E-5</v>
      </c>
      <c r="R37" s="1">
        <v>2.3747328425600001E-5</v>
      </c>
      <c r="S37" s="1">
        <v>4.6120142972399997E-5</v>
      </c>
      <c r="T37" s="1">
        <v>1.5670296952099999E-5</v>
      </c>
      <c r="U37">
        <v>0</v>
      </c>
      <c r="V37">
        <v>1.4576197070200001E-4</v>
      </c>
      <c r="W37" s="1">
        <v>9.8867961836999994E-5</v>
      </c>
      <c r="Y37">
        <v>0</v>
      </c>
      <c r="Z37">
        <v>0</v>
      </c>
      <c r="AA37">
        <v>0</v>
      </c>
      <c r="AB37">
        <v>0</v>
      </c>
      <c r="AC37"/>
      <c r="AD37">
        <v>0</v>
      </c>
      <c r="AE37">
        <v>0</v>
      </c>
      <c r="AF37">
        <v>0</v>
      </c>
      <c r="AG37">
        <v>0</v>
      </c>
      <c r="AH37"/>
      <c r="AI37">
        <v>0</v>
      </c>
      <c r="AJ37">
        <v>0</v>
      </c>
      <c r="AK37">
        <v>0</v>
      </c>
      <c r="AL37">
        <v>0</v>
      </c>
      <c r="AM37"/>
      <c r="AN37">
        <v>0</v>
      </c>
      <c r="AO37">
        <v>0</v>
      </c>
      <c r="AP37">
        <v>0</v>
      </c>
      <c r="AS37" s="8">
        <f t="shared" ref="AS37" si="1">AQ5*$AI$1</f>
        <v>0</v>
      </c>
    </row>
    <row r="38" spans="1:45" x14ac:dyDescent="0.25">
      <c r="A38" t="s">
        <v>92</v>
      </c>
      <c r="B38"/>
      <c r="C38">
        <v>2.5232613152500002E-4</v>
      </c>
      <c r="D38">
        <v>4.3930589668300001E-4</v>
      </c>
      <c r="E38">
        <v>2.39802925596E-4</v>
      </c>
      <c r="F38">
        <v>2.16149451907E-4</v>
      </c>
      <c r="G38">
        <v>2.36666021214E-4</v>
      </c>
      <c r="H38"/>
      <c r="I38" s="1">
        <v>5.3522589208799999E-6</v>
      </c>
      <c r="J38">
        <v>0</v>
      </c>
      <c r="K38" s="1">
        <v>1.96935680807E-5</v>
      </c>
      <c r="L38" s="1">
        <v>2.1515555746799999E-5</v>
      </c>
      <c r="M38">
        <v>0</v>
      </c>
      <c r="N38" s="1">
        <v>5.4411404630399998E-5</v>
      </c>
      <c r="O38">
        <v>0</v>
      </c>
      <c r="P38"/>
      <c r="Q38" s="1">
        <v>3.6479708162300001E-5</v>
      </c>
      <c r="R38" s="1">
        <v>4.7494656851099997E-5</v>
      </c>
      <c r="S38" s="1">
        <v>4.6120142972399997E-5</v>
      </c>
      <c r="T38" s="1">
        <v>9.40217817128E-5</v>
      </c>
      <c r="U38" s="1">
        <v>3.3009836931399999E-5</v>
      </c>
      <c r="V38" s="1">
        <v>3.6440492675500003E-5</v>
      </c>
      <c r="W38" s="1">
        <v>7.4150971377699997E-5</v>
      </c>
      <c r="Y38">
        <v>0</v>
      </c>
      <c r="Z38">
        <v>0</v>
      </c>
      <c r="AA38">
        <v>0</v>
      </c>
      <c r="AB38">
        <v>0</v>
      </c>
      <c r="AC38"/>
      <c r="AD38">
        <v>0</v>
      </c>
      <c r="AE38">
        <v>0</v>
      </c>
      <c r="AF38">
        <v>0</v>
      </c>
      <c r="AG38">
        <v>0</v>
      </c>
      <c r="AH38"/>
      <c r="AI38">
        <v>0</v>
      </c>
      <c r="AJ38">
        <v>0</v>
      </c>
      <c r="AK38">
        <v>0</v>
      </c>
      <c r="AL38">
        <v>0</v>
      </c>
      <c r="AM38"/>
      <c r="AN38">
        <v>0</v>
      </c>
      <c r="AO38">
        <v>0</v>
      </c>
      <c r="AP38">
        <v>0</v>
      </c>
      <c r="AS38" s="8">
        <f t="shared" ref="AS38" si="2">AQ6*$AI$1</f>
        <v>0</v>
      </c>
    </row>
    <row r="39" spans="1:45" x14ac:dyDescent="0.25">
      <c r="A39" t="s">
        <v>93</v>
      </c>
      <c r="B39"/>
      <c r="C39">
        <v>1.4603374862E-2</v>
      </c>
      <c r="D39">
        <v>1.5934822979699999E-2</v>
      </c>
      <c r="E39">
        <v>1.46279784613E-2</v>
      </c>
      <c r="F39">
        <v>1.5253975606E-2</v>
      </c>
      <c r="G39">
        <v>1.55554121216E-2</v>
      </c>
      <c r="H39"/>
      <c r="I39">
        <v>7.9213432029000004E-4</v>
      </c>
      <c r="J39">
        <v>8.3144807316699995E-4</v>
      </c>
      <c r="K39">
        <v>8.2712985938800001E-4</v>
      </c>
      <c r="L39">
        <v>7.5304445113800003E-4</v>
      </c>
      <c r="M39">
        <v>9.7228974234299999E-4</v>
      </c>
      <c r="N39">
        <v>1.19705090187E-3</v>
      </c>
      <c r="O39">
        <v>1.0370468436300001E-3</v>
      </c>
      <c r="P39"/>
      <c r="Q39">
        <v>2.0611035111699999E-3</v>
      </c>
      <c r="R39">
        <v>1.80479696034E-3</v>
      </c>
      <c r="S39">
        <v>1.3605442176899999E-3</v>
      </c>
      <c r="T39">
        <v>2.27219305806E-3</v>
      </c>
      <c r="U39">
        <v>1.8815607050900001E-3</v>
      </c>
      <c r="V39">
        <v>3.7898112382500002E-3</v>
      </c>
      <c r="W39">
        <v>3.70754856889E-3</v>
      </c>
      <c r="Y39">
        <v>6.5477164838800004E-4</v>
      </c>
      <c r="Z39">
        <v>0</v>
      </c>
      <c r="AA39">
        <v>0</v>
      </c>
      <c r="AB39">
        <v>9.6455268869099998E-4</v>
      </c>
      <c r="AC39"/>
      <c r="AD39">
        <v>0</v>
      </c>
      <c r="AE39">
        <v>3.3978933061500001E-4</v>
      </c>
      <c r="AF39">
        <v>0</v>
      </c>
      <c r="AG39">
        <v>0</v>
      </c>
      <c r="AH39"/>
      <c r="AI39">
        <v>0</v>
      </c>
      <c r="AJ39">
        <v>0</v>
      </c>
      <c r="AK39">
        <v>2.7449903925299998E-4</v>
      </c>
      <c r="AL39">
        <v>4.6490004649000003E-4</v>
      </c>
      <c r="AM39"/>
      <c r="AN39">
        <v>2.29779411765E-4</v>
      </c>
      <c r="AO39">
        <v>0</v>
      </c>
      <c r="AP39">
        <v>6.0864272671900003E-4</v>
      </c>
      <c r="AS39" s="8">
        <f t="shared" ref="AS39" si="3">AQ7*$AI$1</f>
        <v>0</v>
      </c>
    </row>
    <row r="40" spans="1:45" ht="15.75" thickBot="1" x14ac:dyDescent="0.3">
      <c r="AQ40" s="8"/>
    </row>
    <row r="41" spans="1:45" ht="15.75" thickBot="1" x14ac:dyDescent="0.3">
      <c r="A41" t="s">
        <v>0</v>
      </c>
      <c r="C41" s="39" t="s">
        <v>37</v>
      </c>
      <c r="D41" s="39" t="s">
        <v>38</v>
      </c>
      <c r="E41" s="39" t="s">
        <v>39</v>
      </c>
      <c r="F41" s="39" t="s">
        <v>40</v>
      </c>
      <c r="G41" s="39" t="s">
        <v>41</v>
      </c>
      <c r="I41" t="s">
        <v>42</v>
      </c>
      <c r="J41" t="s">
        <v>42</v>
      </c>
      <c r="K41" t="s">
        <v>42</v>
      </c>
      <c r="L41" t="s">
        <v>42</v>
      </c>
      <c r="M41" t="s">
        <v>42</v>
      </c>
      <c r="N41" t="s">
        <v>43</v>
      </c>
      <c r="O41" t="s">
        <v>43</v>
      </c>
      <c r="P41"/>
      <c r="Q41" t="s">
        <v>44</v>
      </c>
      <c r="R41" t="s">
        <v>44</v>
      </c>
      <c r="S41" t="s">
        <v>44</v>
      </c>
      <c r="T41" t="s">
        <v>44</v>
      </c>
      <c r="U41" t="s">
        <v>44</v>
      </c>
      <c r="V41" t="s">
        <v>45</v>
      </c>
      <c r="W41" t="s">
        <v>45</v>
      </c>
      <c r="Y41" s="2" t="s">
        <v>22</v>
      </c>
      <c r="Z41" s="3" t="s">
        <v>23</v>
      </c>
      <c r="AA41" s="2" t="s">
        <v>26</v>
      </c>
      <c r="AB41" s="34" t="s">
        <v>27</v>
      </c>
      <c r="AD41" s="35" t="s">
        <v>24</v>
      </c>
      <c r="AE41" s="4" t="s">
        <v>25</v>
      </c>
      <c r="AF41" s="3" t="s">
        <v>28</v>
      </c>
      <c r="AG41" s="4" t="s">
        <v>29</v>
      </c>
      <c r="AI41" s="2" t="s">
        <v>30</v>
      </c>
      <c r="AJ41" s="3" t="s">
        <v>31</v>
      </c>
      <c r="AK41" s="2" t="s">
        <v>33</v>
      </c>
      <c r="AL41" s="3" t="s">
        <v>34</v>
      </c>
      <c r="AN41" s="3" t="s">
        <v>32</v>
      </c>
      <c r="AO41" s="3" t="s">
        <v>35</v>
      </c>
      <c r="AP41" s="4" t="s">
        <v>36</v>
      </c>
      <c r="AQ41" s="8">
        <f t="shared" ref="AQ41" si="4">AQ9*$AI$1</f>
        <v>0</v>
      </c>
    </row>
    <row r="42" spans="1:45" x14ac:dyDescent="0.25">
      <c r="A42" s="5" t="str">
        <f>A4</f>
        <v>k__Bacteria;p__Actinobacteria;c__Actinobacteria;o__Actinomycetales;f__Mycobacteriaceae;g__Mycobacterium;Other</v>
      </c>
      <c r="C42" s="8">
        <f>C4*$C$1</f>
        <v>42258.70293900153</v>
      </c>
      <c r="D42" s="8">
        <f t="shared" ref="D42:G42" si="5">D4*$C$1</f>
        <v>37881.730630051927</v>
      </c>
      <c r="E42" s="8">
        <f t="shared" si="5"/>
        <v>49886.677220769743</v>
      </c>
      <c r="F42" s="8">
        <f t="shared" si="5"/>
        <v>41005.262675796243</v>
      </c>
      <c r="G42" s="8">
        <f t="shared" si="5"/>
        <v>48723.90285808756</v>
      </c>
      <c r="H42" s="8"/>
      <c r="I42" s="8">
        <f>I4*$I$1</f>
        <v>24817.131810218154</v>
      </c>
      <c r="J42" s="8">
        <f t="shared" ref="J42:O42" si="6">J4*$I$1</f>
        <v>22560.589684484912</v>
      </c>
      <c r="K42" s="8">
        <f t="shared" si="6"/>
        <v>16487.307475791942</v>
      </c>
      <c r="L42" s="8">
        <f t="shared" si="6"/>
        <v>19398.251258781485</v>
      </c>
      <c r="M42" s="8">
        <f t="shared" si="6"/>
        <v>14237.097938482717</v>
      </c>
      <c r="N42" s="8">
        <f t="shared" si="6"/>
        <v>10718.310545151377</v>
      </c>
      <c r="O42" s="8">
        <f t="shared" si="6"/>
        <v>14293.206931803596</v>
      </c>
      <c r="P42" s="8"/>
      <c r="Q42" s="8">
        <f>Q4*$Q$1</f>
        <v>28122.169642637506</v>
      </c>
      <c r="R42" s="8">
        <f t="shared" ref="R42:W42" si="7">R4*$Q$1</f>
        <v>34814.389066670774</v>
      </c>
      <c r="S42" s="8">
        <f t="shared" si="7"/>
        <v>51365.442074102481</v>
      </c>
      <c r="T42" s="8">
        <f t="shared" si="7"/>
        <v>35973.517509938945</v>
      </c>
      <c r="U42" s="8">
        <f t="shared" si="7"/>
        <v>24134.24642246051</v>
      </c>
      <c r="V42" s="8">
        <f t="shared" si="7"/>
        <v>16565.27083872302</v>
      </c>
      <c r="W42" s="8">
        <f t="shared" si="7"/>
        <v>20786.511947152216</v>
      </c>
      <c r="Y42" s="8">
        <f>Y4*$Y$1</f>
        <v>32485126.420851476</v>
      </c>
      <c r="Z42" s="8">
        <f t="shared" ref="Z42:AB42" si="8">Z4*$Y$1</f>
        <v>45490346.660213381</v>
      </c>
      <c r="AA42" s="8">
        <f t="shared" si="8"/>
        <v>36665429.525179312</v>
      </c>
      <c r="AB42" s="8">
        <f t="shared" si="8"/>
        <v>68910141.721607089</v>
      </c>
      <c r="AC42" s="8"/>
      <c r="AD42" s="8">
        <f>AD4*$AD$1</f>
        <v>9600991.3762042355</v>
      </c>
      <c r="AE42" s="8">
        <f t="shared" ref="AE42:AG42" si="9">AE4*$AD$1</f>
        <v>13412367.512218315</v>
      </c>
      <c r="AF42" s="8">
        <f t="shared" si="9"/>
        <v>10665524.309809914</v>
      </c>
      <c r="AG42" s="8">
        <f t="shared" si="9"/>
        <v>13846095.096446492</v>
      </c>
      <c r="AI42" s="8">
        <f>AI4*$AI$1</f>
        <v>13337880.235333078</v>
      </c>
      <c r="AJ42" s="8">
        <f t="shared" ref="AJ42:AL42" si="10">AJ4*$AI$1</f>
        <v>16181137.200612908</v>
      </c>
      <c r="AK42" s="8">
        <f t="shared" si="10"/>
        <v>10251458.86879568</v>
      </c>
      <c r="AL42" s="8">
        <f t="shared" si="10"/>
        <v>19532460.595695391</v>
      </c>
      <c r="AN42" s="8">
        <f>AN4*$AN$1</f>
        <v>7436380.346231862</v>
      </c>
      <c r="AO42" s="8">
        <f t="shared" ref="AO42:AP42" si="11">AO4*$AN$1</f>
        <v>1376158.8326255193</v>
      </c>
      <c r="AP42" s="8">
        <f t="shared" si="11"/>
        <v>3890880.3999609658</v>
      </c>
      <c r="AQ42" s="8">
        <f t="shared" ref="AQ42" si="12">AQ10*$AI$1</f>
        <v>0</v>
      </c>
    </row>
    <row r="43" spans="1:45" x14ac:dyDescent="0.25">
      <c r="A43" s="5" t="str">
        <f t="shared" ref="A43:A77" si="13">A5</f>
        <v>k__Bacteria;p__Actinobacteria;c__Actinobacteria;o__Actinomycetales;f__Mycobacteriaceae;g__Mycobacterium;s__</v>
      </c>
      <c r="C43" s="8">
        <f t="shared" ref="C43:G43" si="14">C5*$C$1</f>
        <v>48990.177743430606</v>
      </c>
      <c r="D43" s="8">
        <f t="shared" si="14"/>
        <v>61084.290640881663</v>
      </c>
      <c r="E43" s="8">
        <f t="shared" si="14"/>
        <v>64361.568020545405</v>
      </c>
      <c r="F43" s="8">
        <f t="shared" si="14"/>
        <v>47961.512593993684</v>
      </c>
      <c r="G43" s="8">
        <f t="shared" si="14"/>
        <v>70407.315124660279</v>
      </c>
      <c r="H43" s="8"/>
      <c r="I43" s="8">
        <f t="shared" ref="I43:O43" si="15">I5*$I$1</f>
        <v>27523.902314041199</v>
      </c>
      <c r="J43" s="8">
        <f t="shared" si="15"/>
        <v>27321.753091919993</v>
      </c>
      <c r="K43" s="8">
        <f t="shared" si="15"/>
        <v>20963.499550664837</v>
      </c>
      <c r="L43" s="8">
        <f t="shared" si="15"/>
        <v>23636.524643038108</v>
      </c>
      <c r="M43" s="8">
        <f t="shared" si="15"/>
        <v>14520.423270585041</v>
      </c>
      <c r="N43" s="8">
        <f t="shared" si="15"/>
        <v>21642.742446938824</v>
      </c>
      <c r="O43" s="8">
        <f t="shared" si="15"/>
        <v>25995.247694697464</v>
      </c>
      <c r="P43" s="8"/>
      <c r="Q43" s="8">
        <f t="shared" ref="Q43:W43" si="16">Q5*$Q$1</f>
        <v>39661.241707318492</v>
      </c>
      <c r="R43" s="8">
        <f t="shared" si="16"/>
        <v>34454.550419995256</v>
      </c>
      <c r="S43" s="8">
        <f t="shared" si="16"/>
        <v>35204.546183446786</v>
      </c>
      <c r="T43" s="8">
        <f t="shared" si="16"/>
        <v>46480.634010303082</v>
      </c>
      <c r="U43" s="8">
        <f t="shared" si="16"/>
        <v>31136.929322248085</v>
      </c>
      <c r="V43" s="8">
        <f t="shared" si="16"/>
        <v>22915.291326888808</v>
      </c>
      <c r="W43" s="8">
        <f t="shared" si="16"/>
        <v>34082.388958388947</v>
      </c>
      <c r="Y43" s="8">
        <f t="shared" ref="Y43:AB43" si="17">Y5*$Y$1</f>
        <v>54575012.387065411</v>
      </c>
      <c r="Z43" s="8">
        <f t="shared" si="17"/>
        <v>45490346.660213381</v>
      </c>
      <c r="AA43" s="8">
        <f t="shared" si="17"/>
        <v>75622448.395672411</v>
      </c>
      <c r="AB43" s="8">
        <f t="shared" si="17"/>
        <v>86137677.152207315</v>
      </c>
      <c r="AC43" s="8"/>
      <c r="AD43" s="8">
        <f t="shared" ref="AD43:AG43" si="18">AD5*$AD$1</f>
        <v>12105597.82218257</v>
      </c>
      <c r="AE43" s="8">
        <f t="shared" si="18"/>
        <v>17436077.765883811</v>
      </c>
      <c r="AF43" s="8">
        <f t="shared" si="18"/>
        <v>15236463.299711531</v>
      </c>
      <c r="AG43" s="8">
        <f t="shared" si="18"/>
        <v>19833595.678686157</v>
      </c>
      <c r="AI43" s="8">
        <f t="shared" ref="AI43:AL43" si="19">AI5*$AI$1</f>
        <v>23038156.77012077</v>
      </c>
      <c r="AJ43" s="8">
        <f t="shared" si="19"/>
        <v>24271705.800896019</v>
      </c>
      <c r="AK43" s="8">
        <f t="shared" si="19"/>
        <v>28191511.889129769</v>
      </c>
      <c r="AL43" s="8">
        <f t="shared" si="19"/>
        <v>13021640.397130262</v>
      </c>
      <c r="AN43" s="8">
        <f>AN5*$AN$1</f>
        <v>9088909.3120624982</v>
      </c>
      <c r="AO43" s="8">
        <f t="shared" ref="AO43:AP43" si="20">AO5*$AN$1</f>
        <v>6422074.5522404369</v>
      </c>
      <c r="AP43" s="8">
        <f t="shared" si="20"/>
        <v>5593140.5749513796</v>
      </c>
      <c r="AQ43" s="8">
        <f t="shared" ref="AQ43" si="21">AQ11*$AI$1</f>
        <v>0</v>
      </c>
    </row>
    <row r="44" spans="1:45" x14ac:dyDescent="0.25">
      <c r="A44" s="5" t="str">
        <f t="shared" si="13"/>
        <v>k__Bacteria;p__Actinobacteria;c__Actinobacteria;o__Actinomycetales;f__Mycobacteriaceae;g__Mycobacterium;s__celatum</v>
      </c>
      <c r="C44" s="8">
        <f t="shared" ref="C44:G44" si="22">C6*$C$1</f>
        <v>0</v>
      </c>
      <c r="D44" s="8">
        <f t="shared" si="22"/>
        <v>0</v>
      </c>
      <c r="E44" s="8">
        <f t="shared" si="22"/>
        <v>0</v>
      </c>
      <c r="F44" s="8">
        <f t="shared" si="22"/>
        <v>0</v>
      </c>
      <c r="G44" s="8">
        <f t="shared" si="22"/>
        <v>0</v>
      </c>
      <c r="H44" s="8"/>
      <c r="I44" s="8">
        <f t="shared" ref="I44:O44" si="23">I6*$I$1</f>
        <v>0</v>
      </c>
      <c r="J44" s="8">
        <f t="shared" si="23"/>
        <v>0</v>
      </c>
      <c r="K44" s="8">
        <f t="shared" si="23"/>
        <v>0</v>
      </c>
      <c r="L44" s="8">
        <f t="shared" si="23"/>
        <v>81.505257389812698</v>
      </c>
      <c r="M44" s="8">
        <f t="shared" si="23"/>
        <v>0</v>
      </c>
      <c r="N44" s="8">
        <f t="shared" si="23"/>
        <v>103.06067831879237</v>
      </c>
      <c r="O44" s="8">
        <f t="shared" si="23"/>
        <v>0</v>
      </c>
      <c r="P44" s="8"/>
      <c r="Q44" s="8">
        <f t="shared" ref="Q44:W44" si="24">Q6*$Q$1</f>
        <v>0</v>
      </c>
      <c r="R44" s="8">
        <f t="shared" si="24"/>
        <v>0</v>
      </c>
      <c r="S44" s="8">
        <f t="shared" si="24"/>
        <v>0</v>
      </c>
      <c r="T44" s="8">
        <f t="shared" si="24"/>
        <v>0</v>
      </c>
      <c r="U44" s="8">
        <f t="shared" si="24"/>
        <v>0</v>
      </c>
      <c r="V44" s="8">
        <f t="shared" si="24"/>
        <v>0</v>
      </c>
      <c r="W44" s="8">
        <f t="shared" si="24"/>
        <v>0</v>
      </c>
      <c r="Y44" s="8">
        <f t="shared" ref="Y44:AB44" si="25">Y6*$Y$1</f>
        <v>0</v>
      </c>
      <c r="Z44" s="8">
        <f t="shared" si="25"/>
        <v>0</v>
      </c>
      <c r="AA44" s="8">
        <f t="shared" si="25"/>
        <v>0</v>
      </c>
      <c r="AB44" s="8">
        <f t="shared" si="25"/>
        <v>0</v>
      </c>
      <c r="AC44" s="151"/>
      <c r="AD44" s="8">
        <f t="shared" ref="AD44:AG44" si="26">AD6*$AD$1</f>
        <v>0</v>
      </c>
      <c r="AE44" s="8">
        <f t="shared" si="26"/>
        <v>0</v>
      </c>
      <c r="AF44" s="8">
        <f t="shared" si="26"/>
        <v>0</v>
      </c>
      <c r="AG44" s="8">
        <f t="shared" si="26"/>
        <v>0</v>
      </c>
      <c r="AI44" s="8">
        <f t="shared" ref="AI44:AL44" si="27">AI6*$AI$1</f>
        <v>0</v>
      </c>
      <c r="AJ44" s="8">
        <f t="shared" si="27"/>
        <v>0</v>
      </c>
      <c r="AK44" s="8">
        <f t="shared" si="27"/>
        <v>0</v>
      </c>
      <c r="AL44" s="8">
        <f t="shared" si="27"/>
        <v>0</v>
      </c>
      <c r="AN44" s="8">
        <f>AN6*$AN$1</f>
        <v>0</v>
      </c>
      <c r="AO44" s="8">
        <f t="shared" ref="AO44:AP44" si="28">AO6*$AN$1</f>
        <v>0</v>
      </c>
      <c r="AP44" s="8">
        <f t="shared" si="28"/>
        <v>0</v>
      </c>
      <c r="AQ44" s="8">
        <f t="shared" ref="AQ44" si="29">AQ12*$AI$1</f>
        <v>0</v>
      </c>
    </row>
    <row r="45" spans="1:45" x14ac:dyDescent="0.25">
      <c r="A45" s="5" t="str">
        <f t="shared" si="13"/>
        <v>k__Bacteria;p__Actinobacteria;c__Actinobacteria;o__Actinomycetales;f__Mycobacteriaceae;g__Mycobacterium;s__vaccae</v>
      </c>
      <c r="B45"/>
      <c r="C45" s="8">
        <f t="shared" ref="C45:G45" si="30">C7*$C$1</f>
        <v>0</v>
      </c>
      <c r="D45" s="8">
        <f t="shared" si="30"/>
        <v>0</v>
      </c>
      <c r="E45" s="8">
        <f t="shared" si="30"/>
        <v>0</v>
      </c>
      <c r="F45" s="8">
        <f t="shared" si="30"/>
        <v>0</v>
      </c>
      <c r="G45" s="8">
        <f t="shared" si="30"/>
        <v>0</v>
      </c>
      <c r="H45" s="9"/>
      <c r="I45" s="8">
        <f t="shared" ref="I45:O45" si="31">I7*$I$1</f>
        <v>10.137717242747192</v>
      </c>
      <c r="J45" s="8">
        <f t="shared" si="31"/>
        <v>0</v>
      </c>
      <c r="K45" s="8">
        <f t="shared" si="31"/>
        <v>0</v>
      </c>
      <c r="L45" s="8">
        <f t="shared" si="31"/>
        <v>0</v>
      </c>
      <c r="M45" s="8">
        <f t="shared" si="31"/>
        <v>0</v>
      </c>
      <c r="N45" s="8">
        <f t="shared" si="31"/>
        <v>0</v>
      </c>
      <c r="O45" s="8">
        <f t="shared" si="31"/>
        <v>83.586005449079593</v>
      </c>
      <c r="P45" s="9"/>
      <c r="Q45" s="8">
        <f t="shared" ref="Q45:W45" si="32">Q7*$Q$1</f>
        <v>0</v>
      </c>
      <c r="R45" s="8">
        <f t="shared" si="32"/>
        <v>0</v>
      </c>
      <c r="S45" s="8">
        <f t="shared" si="32"/>
        <v>0</v>
      </c>
      <c r="T45" s="8">
        <f t="shared" si="32"/>
        <v>0</v>
      </c>
      <c r="U45" s="8">
        <f t="shared" si="32"/>
        <v>0</v>
      </c>
      <c r="V45" s="8">
        <f t="shared" si="32"/>
        <v>0</v>
      </c>
      <c r="W45" s="8">
        <f t="shared" si="32"/>
        <v>0</v>
      </c>
      <c r="Y45" s="8">
        <f t="shared" ref="Y45:AB45" si="33">Y7*$Y$1</f>
        <v>1299405.0568356467</v>
      </c>
      <c r="Z45" s="8">
        <f t="shared" si="33"/>
        <v>0</v>
      </c>
      <c r="AA45" s="8">
        <f t="shared" si="33"/>
        <v>2291589.3453217228</v>
      </c>
      <c r="AB45" s="8">
        <f t="shared" si="33"/>
        <v>1914170.6033797387</v>
      </c>
      <c r="AC45" s="8"/>
      <c r="AD45" s="8">
        <f t="shared" ref="AD45:AG45" si="34">AD7*$AD$1</f>
        <v>0</v>
      </c>
      <c r="AE45" s="8">
        <f t="shared" si="34"/>
        <v>0</v>
      </c>
      <c r="AF45" s="8">
        <f t="shared" si="34"/>
        <v>0</v>
      </c>
      <c r="AG45" s="8">
        <f t="shared" si="34"/>
        <v>0</v>
      </c>
      <c r="AI45" s="8">
        <f t="shared" ref="AI45:AL45" si="35">AI7*$AI$1</f>
        <v>0</v>
      </c>
      <c r="AJ45" s="8">
        <f t="shared" si="35"/>
        <v>0</v>
      </c>
      <c r="AK45" s="8">
        <f t="shared" si="35"/>
        <v>0</v>
      </c>
      <c r="AL45" s="8">
        <f t="shared" si="35"/>
        <v>0</v>
      </c>
      <c r="AN45" s="8">
        <f>AN7*$AN$1</f>
        <v>0</v>
      </c>
      <c r="AO45" s="8">
        <f t="shared" ref="AO45:AP45" si="36">AO7*$AN$1</f>
        <v>0</v>
      </c>
      <c r="AP45" s="8">
        <f t="shared" si="36"/>
        <v>0</v>
      </c>
      <c r="AQ45" s="8">
        <f t="shared" ref="AQ45" si="37">AQ13*$AI$1</f>
        <v>0</v>
      </c>
    </row>
    <row r="46" spans="1:45" x14ac:dyDescent="0.25">
      <c r="B46"/>
      <c r="C46" s="8"/>
      <c r="D46" s="8"/>
      <c r="E46" s="8"/>
      <c r="F46" s="8"/>
      <c r="G46" s="8"/>
      <c r="H46" s="9"/>
      <c r="I46" s="8"/>
      <c r="J46" s="8"/>
      <c r="K46" s="8"/>
      <c r="L46" s="8"/>
      <c r="M46" s="8"/>
      <c r="N46" s="8"/>
      <c r="O46" s="8"/>
      <c r="P46" s="9"/>
      <c r="Q46" s="8"/>
      <c r="R46" s="8"/>
      <c r="S46" s="8"/>
      <c r="T46" s="8"/>
      <c r="U46" s="8"/>
      <c r="V46" s="8"/>
      <c r="W46" s="8"/>
      <c r="Y46" s="8"/>
      <c r="Z46" s="8"/>
      <c r="AA46" s="8"/>
      <c r="AB46" s="8"/>
      <c r="AC46" s="8"/>
      <c r="AD46" s="8"/>
      <c r="AE46" s="8"/>
      <c r="AF46" s="8"/>
      <c r="AG46" s="8"/>
      <c r="AI46" s="8"/>
      <c r="AJ46" s="8"/>
      <c r="AK46" s="8"/>
      <c r="AL46" s="8"/>
      <c r="AN46" s="8"/>
      <c r="AO46" s="8"/>
      <c r="AP46" s="8"/>
      <c r="AQ46" s="8"/>
    </row>
    <row r="47" spans="1:45" x14ac:dyDescent="0.25">
      <c r="A47" s="5" t="str">
        <f t="shared" si="13"/>
        <v>k__Bacteria;p__Firmicutes;c__Clostridia;o__Clostridiales;f__Clostridiaceae;Other;Other</v>
      </c>
      <c r="B47"/>
      <c r="C47" s="8">
        <f t="shared" ref="C47:G47" si="38">C9*$C$1</f>
        <v>1121.9124674076136</v>
      </c>
      <c r="D47" s="8">
        <f t="shared" si="38"/>
        <v>710.28244931288077</v>
      </c>
      <c r="E47" s="8">
        <f t="shared" si="38"/>
        <v>0</v>
      </c>
      <c r="F47" s="8">
        <f t="shared" si="38"/>
        <v>0</v>
      </c>
      <c r="G47" s="8">
        <f t="shared" si="38"/>
        <v>510.19793568692353</v>
      </c>
      <c r="H47" s="9"/>
      <c r="I47" s="8">
        <f t="shared" ref="I47:O47" si="39">I9*$I$1</f>
        <v>0</v>
      </c>
      <c r="J47" s="8">
        <f t="shared" si="39"/>
        <v>0</v>
      </c>
      <c r="K47" s="8">
        <f t="shared" si="39"/>
        <v>0</v>
      </c>
      <c r="L47" s="8">
        <f t="shared" si="39"/>
        <v>0</v>
      </c>
      <c r="M47" s="8">
        <f t="shared" si="39"/>
        <v>0</v>
      </c>
      <c r="N47" s="8">
        <f t="shared" si="39"/>
        <v>0</v>
      </c>
      <c r="O47" s="8">
        <f t="shared" si="39"/>
        <v>0</v>
      </c>
      <c r="P47" s="9"/>
      <c r="Q47" s="8">
        <f t="shared" ref="Q47:W47" si="40">Q9*$Q$1</f>
        <v>138.19247981617806</v>
      </c>
      <c r="R47" s="8">
        <f t="shared" si="40"/>
        <v>0</v>
      </c>
      <c r="S47" s="8">
        <f t="shared" si="40"/>
        <v>0</v>
      </c>
      <c r="T47" s="8">
        <f t="shared" si="40"/>
        <v>0</v>
      </c>
      <c r="U47" s="8">
        <f t="shared" si="40"/>
        <v>0</v>
      </c>
      <c r="V47" s="8">
        <f t="shared" si="40"/>
        <v>138.04392365602516</v>
      </c>
      <c r="W47" s="8">
        <f t="shared" si="40"/>
        <v>0</v>
      </c>
      <c r="Y47" s="8">
        <f t="shared" ref="Y47:AB47" si="41">Y9*$Y$1</f>
        <v>0</v>
      </c>
      <c r="Z47" s="8">
        <f t="shared" si="41"/>
        <v>0</v>
      </c>
      <c r="AA47" s="8">
        <f t="shared" si="41"/>
        <v>0</v>
      </c>
      <c r="AB47" s="8">
        <f t="shared" si="41"/>
        <v>0</v>
      </c>
      <c r="AC47" s="8"/>
      <c r="AD47" s="8">
        <f t="shared" ref="AD47:AG47" si="42">AD9*$AD$1</f>
        <v>0</v>
      </c>
      <c r="AE47" s="8">
        <f t="shared" si="42"/>
        <v>0</v>
      </c>
      <c r="AF47" s="8">
        <f t="shared" si="42"/>
        <v>0</v>
      </c>
      <c r="AG47" s="8">
        <f t="shared" si="42"/>
        <v>0</v>
      </c>
      <c r="AI47" s="8">
        <f t="shared" ref="AI47:AL47" si="43">AI9*$AI$1</f>
        <v>0</v>
      </c>
      <c r="AJ47" s="8">
        <f t="shared" si="43"/>
        <v>0</v>
      </c>
      <c r="AK47" s="8">
        <f t="shared" si="43"/>
        <v>0</v>
      </c>
      <c r="AL47" s="8">
        <f t="shared" si="43"/>
        <v>0</v>
      </c>
      <c r="AN47" s="8">
        <f>AN9*$AN$1</f>
        <v>0</v>
      </c>
      <c r="AO47" s="8">
        <f t="shared" ref="AO47:AP47" si="44">AO9*$AN$1</f>
        <v>0</v>
      </c>
      <c r="AP47" s="8">
        <f t="shared" si="44"/>
        <v>0</v>
      </c>
      <c r="AQ47" s="8"/>
    </row>
    <row r="48" spans="1:45" x14ac:dyDescent="0.25">
      <c r="A48" s="5" t="str">
        <f t="shared" si="13"/>
        <v>k__Bacteria;p__Firmicutes;c__Clostridia;o__Clostridiales;f__Clostridiaceae;g__Clostridium;Other</v>
      </c>
      <c r="B48"/>
      <c r="C48" s="8">
        <f t="shared" ref="C48:G48" si="45">C10*$C$1</f>
        <v>373.97082246880922</v>
      </c>
      <c r="D48" s="8">
        <f t="shared" si="45"/>
        <v>1657.3257150677359</v>
      </c>
      <c r="E48" s="8">
        <f t="shared" si="45"/>
        <v>1292.4009642648373</v>
      </c>
      <c r="F48" s="8">
        <f t="shared" si="45"/>
        <v>2562.8289172387476</v>
      </c>
      <c r="G48" s="8">
        <f t="shared" si="45"/>
        <v>1530.5938070619563</v>
      </c>
      <c r="H48" s="9"/>
      <c r="I48" s="8">
        <f t="shared" ref="I48:O48" si="46">I10*$I$1</f>
        <v>20.275434485494383</v>
      </c>
      <c r="J48" s="8">
        <f t="shared" si="46"/>
        <v>0</v>
      </c>
      <c r="K48" s="8">
        <f t="shared" si="46"/>
        <v>0</v>
      </c>
      <c r="L48" s="8">
        <f t="shared" si="46"/>
        <v>0</v>
      </c>
      <c r="M48" s="8">
        <f t="shared" si="46"/>
        <v>0</v>
      </c>
      <c r="N48" s="8">
        <f t="shared" si="46"/>
        <v>0</v>
      </c>
      <c r="O48" s="8">
        <f t="shared" si="46"/>
        <v>0</v>
      </c>
      <c r="P48" s="9"/>
      <c r="Q48" s="8">
        <f t="shared" ref="Q48:W48" si="47">Q10*$Q$1</f>
        <v>138.19247981617806</v>
      </c>
      <c r="R48" s="8">
        <f t="shared" si="47"/>
        <v>89.959661671152261</v>
      </c>
      <c r="S48" s="8">
        <f t="shared" si="47"/>
        <v>174.71238800696577</v>
      </c>
      <c r="T48" s="8">
        <f t="shared" si="47"/>
        <v>59.362240115302022</v>
      </c>
      <c r="U48" s="8">
        <f t="shared" si="47"/>
        <v>0</v>
      </c>
      <c r="V48" s="8">
        <f t="shared" si="47"/>
        <v>276.08784731167145</v>
      </c>
      <c r="W48" s="8">
        <f t="shared" si="47"/>
        <v>280.89881009664134</v>
      </c>
      <c r="Y48" s="8">
        <f t="shared" ref="Y48:AB48" si="48">Y10*$Y$1</f>
        <v>3898215.1705069402</v>
      </c>
      <c r="Z48" s="8">
        <f t="shared" si="48"/>
        <v>8529439.998824738</v>
      </c>
      <c r="AA48" s="8">
        <f t="shared" si="48"/>
        <v>0</v>
      </c>
      <c r="AB48" s="8">
        <f t="shared" si="48"/>
        <v>0</v>
      </c>
      <c r="AC48" s="8"/>
      <c r="AD48" s="8">
        <f t="shared" ref="AD48:AG48" si="49">AD10*$AD$1</f>
        <v>0</v>
      </c>
      <c r="AE48" s="8">
        <f t="shared" si="49"/>
        <v>0</v>
      </c>
      <c r="AF48" s="8">
        <f t="shared" si="49"/>
        <v>0</v>
      </c>
      <c r="AG48" s="8">
        <f t="shared" si="49"/>
        <v>0</v>
      </c>
      <c r="AI48" s="8">
        <f t="shared" ref="AI48:AL48" si="50">AI10*$AI$1</f>
        <v>0</v>
      </c>
      <c r="AJ48" s="8">
        <f t="shared" si="50"/>
        <v>0</v>
      </c>
      <c r="AK48" s="8">
        <f t="shared" si="50"/>
        <v>0</v>
      </c>
      <c r="AL48" s="8">
        <f t="shared" si="50"/>
        <v>2170273.3995217104</v>
      </c>
      <c r="AN48" s="8">
        <f>AN10*$AN$1</f>
        <v>0</v>
      </c>
      <c r="AO48" s="8">
        <f t="shared" ref="AO48:AP48" si="51">AO10*$AN$1</f>
        <v>0</v>
      </c>
      <c r="AP48" s="8">
        <f t="shared" si="51"/>
        <v>0</v>
      </c>
      <c r="AQ48" s="8"/>
    </row>
    <row r="49" spans="1:43" x14ac:dyDescent="0.25">
      <c r="A49" s="5" t="str">
        <f t="shared" si="13"/>
        <v>k__Bacteria;p__Firmicutes;c__Clostridia;o__Clostridiales;f__Clostridiaceae;g__Clostridium;s__bowmanii</v>
      </c>
      <c r="B49"/>
      <c r="C49" s="8">
        <f t="shared" ref="C49:G49" si="52">C11*$C$1</f>
        <v>373.97082246880922</v>
      </c>
      <c r="D49" s="8">
        <f t="shared" si="52"/>
        <v>0</v>
      </c>
      <c r="E49" s="8">
        <f t="shared" si="52"/>
        <v>0</v>
      </c>
      <c r="F49" s="8">
        <f t="shared" si="52"/>
        <v>366.11841674754561</v>
      </c>
      <c r="G49" s="8">
        <f t="shared" si="52"/>
        <v>510.19793568692353</v>
      </c>
      <c r="H49" s="9"/>
      <c r="I49" s="8">
        <f t="shared" ref="I49:O49" si="53">I11*$I$1</f>
        <v>40.550868971140297</v>
      </c>
      <c r="J49" s="8">
        <f t="shared" si="53"/>
        <v>146.49733561347443</v>
      </c>
      <c r="K49" s="8">
        <f t="shared" si="53"/>
        <v>0</v>
      </c>
      <c r="L49" s="8">
        <f t="shared" si="53"/>
        <v>81.505257389812698</v>
      </c>
      <c r="M49" s="8">
        <f t="shared" si="53"/>
        <v>141.66266605457136</v>
      </c>
      <c r="N49" s="8">
        <f t="shared" si="53"/>
        <v>0</v>
      </c>
      <c r="O49" s="8">
        <f t="shared" si="53"/>
        <v>0</v>
      </c>
      <c r="P49" s="9"/>
      <c r="Q49" s="8">
        <f t="shared" ref="Q49:W49" si="54">Q11*$Q$1</f>
        <v>0</v>
      </c>
      <c r="R49" s="8">
        <f t="shared" si="54"/>
        <v>0</v>
      </c>
      <c r="S49" s="8">
        <f t="shared" si="54"/>
        <v>0</v>
      </c>
      <c r="T49" s="8">
        <f t="shared" si="54"/>
        <v>59.362240115302022</v>
      </c>
      <c r="U49" s="8">
        <f t="shared" si="54"/>
        <v>0</v>
      </c>
      <c r="V49" s="8">
        <f t="shared" si="54"/>
        <v>0</v>
      </c>
      <c r="W49" s="8">
        <f t="shared" si="54"/>
        <v>93.632936698754165</v>
      </c>
      <c r="Y49" s="8">
        <f t="shared" ref="Y49:AB49" si="55">Y11*$Y$1</f>
        <v>0</v>
      </c>
      <c r="Z49" s="8">
        <f t="shared" si="55"/>
        <v>0</v>
      </c>
      <c r="AA49" s="8">
        <f t="shared" si="55"/>
        <v>0</v>
      </c>
      <c r="AB49" s="8">
        <f t="shared" si="55"/>
        <v>0</v>
      </c>
      <c r="AC49" s="8"/>
      <c r="AD49" s="8">
        <f t="shared" ref="AD49:AG49" si="56">AD11*$AD$1</f>
        <v>0</v>
      </c>
      <c r="AE49" s="8">
        <f t="shared" si="56"/>
        <v>0</v>
      </c>
      <c r="AF49" s="8">
        <f t="shared" si="56"/>
        <v>0</v>
      </c>
      <c r="AG49" s="8">
        <f t="shared" si="56"/>
        <v>0</v>
      </c>
      <c r="AI49" s="8">
        <f t="shared" ref="AI49:AL49" si="57">AI11*$AI$1</f>
        <v>0</v>
      </c>
      <c r="AJ49" s="8">
        <f t="shared" si="57"/>
        <v>0</v>
      </c>
      <c r="AK49" s="8">
        <f t="shared" si="57"/>
        <v>0</v>
      </c>
      <c r="AL49" s="8">
        <f t="shared" si="57"/>
        <v>0</v>
      </c>
      <c r="AN49" s="8">
        <f>AN11*$AN$1</f>
        <v>0</v>
      </c>
      <c r="AO49" s="8">
        <f t="shared" ref="AO49:AP49" si="58">AO11*$AN$1</f>
        <v>0</v>
      </c>
      <c r="AP49" s="8">
        <f t="shared" si="58"/>
        <v>0</v>
      </c>
      <c r="AQ49" s="8">
        <f t="shared" ref="AQ49" si="59">AQ17*$AI$1</f>
        <v>0</v>
      </c>
    </row>
    <row r="50" spans="1:43" x14ac:dyDescent="0.25">
      <c r="A50" s="5" t="str">
        <f t="shared" si="13"/>
        <v>k__Bacteria;p__Firmicutes;c__Clostridia;o__Clostridiales;f__Clostridiaceae;g__Clostridium;s__butyricum</v>
      </c>
      <c r="B50"/>
      <c r="C50" s="8">
        <f t="shared" ref="C50:G50" si="60">C12*$C$1</f>
        <v>373.97082246880922</v>
      </c>
      <c r="D50" s="8">
        <f t="shared" si="60"/>
        <v>947.04326575129801</v>
      </c>
      <c r="E50" s="8">
        <f t="shared" si="60"/>
        <v>775.44057856008794</v>
      </c>
      <c r="F50" s="8">
        <f t="shared" si="60"/>
        <v>0</v>
      </c>
      <c r="G50" s="8">
        <f t="shared" si="60"/>
        <v>255.09896784286894</v>
      </c>
      <c r="H50" s="9"/>
      <c r="I50" s="8">
        <f t="shared" ref="I50:O50" si="61">I12*$I$1</f>
        <v>0</v>
      </c>
      <c r="J50" s="8">
        <f t="shared" si="61"/>
        <v>0</v>
      </c>
      <c r="K50" s="8">
        <f t="shared" si="61"/>
        <v>0</v>
      </c>
      <c r="L50" s="8">
        <f t="shared" si="61"/>
        <v>0</v>
      </c>
      <c r="M50" s="8">
        <f t="shared" si="61"/>
        <v>0</v>
      </c>
      <c r="N50" s="8">
        <f t="shared" si="61"/>
        <v>0</v>
      </c>
      <c r="O50" s="8">
        <f t="shared" si="61"/>
        <v>0</v>
      </c>
      <c r="P50" s="9"/>
      <c r="Q50" s="8">
        <f t="shared" ref="Q50:W50" si="62">Q12*$Q$1</f>
        <v>69.096239908278434</v>
      </c>
      <c r="R50" s="8">
        <f t="shared" si="62"/>
        <v>0</v>
      </c>
      <c r="S50" s="8">
        <f t="shared" si="62"/>
        <v>0</v>
      </c>
      <c r="T50" s="8">
        <f t="shared" si="62"/>
        <v>0</v>
      </c>
      <c r="U50" s="8">
        <f t="shared" si="62"/>
        <v>0</v>
      </c>
      <c r="V50" s="8">
        <f t="shared" si="62"/>
        <v>0</v>
      </c>
      <c r="W50" s="8">
        <f t="shared" si="62"/>
        <v>0</v>
      </c>
      <c r="Y50" s="8">
        <f t="shared" ref="Y50:AB50" si="63">Y12*$Y$1</f>
        <v>0</v>
      </c>
      <c r="Z50" s="8">
        <f t="shared" si="63"/>
        <v>0</v>
      </c>
      <c r="AA50" s="8">
        <f t="shared" si="63"/>
        <v>0</v>
      </c>
      <c r="AB50" s="8">
        <f t="shared" si="63"/>
        <v>0</v>
      </c>
      <c r="AC50" s="8"/>
      <c r="AD50" s="8">
        <f t="shared" ref="AD50:AG50" si="64">AD12*$AD$1</f>
        <v>0</v>
      </c>
      <c r="AE50" s="8">
        <f t="shared" si="64"/>
        <v>0</v>
      </c>
      <c r="AF50" s="8">
        <f t="shared" si="64"/>
        <v>0</v>
      </c>
      <c r="AG50" s="8">
        <f t="shared" si="64"/>
        <v>0</v>
      </c>
      <c r="AI50" s="8">
        <f t="shared" ref="AI50:AL50" si="65">AI12*$AI$1</f>
        <v>0</v>
      </c>
      <c r="AJ50" s="8">
        <f t="shared" si="65"/>
        <v>0</v>
      </c>
      <c r="AK50" s="8">
        <f t="shared" si="65"/>
        <v>0</v>
      </c>
      <c r="AL50" s="8">
        <f t="shared" si="65"/>
        <v>0</v>
      </c>
      <c r="AN50" s="8">
        <f>AN12*$AN$1</f>
        <v>0</v>
      </c>
      <c r="AO50" s="8">
        <f t="shared" ref="AO50:AP50" si="66">AO12*$AN$1</f>
        <v>0</v>
      </c>
      <c r="AP50" s="8">
        <f t="shared" si="66"/>
        <v>0</v>
      </c>
      <c r="AQ50" s="8">
        <f t="shared" ref="AQ50" si="67">AQ18*$AI$1</f>
        <v>0</v>
      </c>
    </row>
    <row r="51" spans="1:43" x14ac:dyDescent="0.25">
      <c r="A51" s="5" t="str">
        <f t="shared" si="13"/>
        <v>k__Bacteria;p__Firmicutes;c__Clostridia;o__Clostridiales;f__Clostridiaceae;g__Clostridium;s__gasigenes</v>
      </c>
      <c r="B51"/>
      <c r="C51" s="8">
        <f t="shared" ref="C51:G51" si="68">C13*$C$1</f>
        <v>1869.8541123440464</v>
      </c>
      <c r="D51" s="8">
        <f t="shared" si="68"/>
        <v>1657.3257150677359</v>
      </c>
      <c r="E51" s="8">
        <f t="shared" si="68"/>
        <v>516.96038570712062</v>
      </c>
      <c r="F51" s="8">
        <f t="shared" si="68"/>
        <v>732.23683349627686</v>
      </c>
      <c r="G51" s="8">
        <f t="shared" si="68"/>
        <v>0</v>
      </c>
      <c r="H51" s="9"/>
      <c r="I51" s="8">
        <f t="shared" ref="I51:O51" si="69">I13*$I$1</f>
        <v>0</v>
      </c>
      <c r="J51" s="8">
        <f t="shared" si="69"/>
        <v>0</v>
      </c>
      <c r="K51" s="8">
        <f t="shared" si="69"/>
        <v>149.20640249563698</v>
      </c>
      <c r="L51" s="8">
        <f t="shared" si="69"/>
        <v>0</v>
      </c>
      <c r="M51" s="8">
        <f t="shared" si="69"/>
        <v>0</v>
      </c>
      <c r="N51" s="8">
        <f t="shared" si="69"/>
        <v>0</v>
      </c>
      <c r="O51" s="8">
        <f t="shared" si="69"/>
        <v>83.586005449079593</v>
      </c>
      <c r="P51" s="9"/>
      <c r="Q51" s="8">
        <f t="shared" ref="Q51:W51" si="70">Q13*$Q$1</f>
        <v>207.28871972445648</v>
      </c>
      <c r="R51" s="8">
        <f t="shared" si="70"/>
        <v>0</v>
      </c>
      <c r="S51" s="8">
        <f t="shared" si="70"/>
        <v>87.356194003482884</v>
      </c>
      <c r="T51" s="8">
        <f t="shared" si="70"/>
        <v>237.44896046158692</v>
      </c>
      <c r="U51" s="8">
        <f t="shared" si="70"/>
        <v>375.14372677400939</v>
      </c>
      <c r="V51" s="8">
        <f t="shared" si="70"/>
        <v>138.04392365602516</v>
      </c>
      <c r="W51" s="8">
        <f t="shared" si="70"/>
        <v>0</v>
      </c>
      <c r="Y51" s="8">
        <f t="shared" ref="Y51:AB51" si="71">Y13*$Y$1</f>
        <v>0</v>
      </c>
      <c r="Z51" s="8">
        <f t="shared" si="71"/>
        <v>0</v>
      </c>
      <c r="AA51" s="8">
        <f t="shared" si="71"/>
        <v>2291589.3453217228</v>
      </c>
      <c r="AB51" s="8">
        <f t="shared" si="71"/>
        <v>0</v>
      </c>
      <c r="AC51" s="8"/>
      <c r="AD51" s="8">
        <f t="shared" ref="AD51:AG51" si="72">AD13*$AD$1</f>
        <v>0</v>
      </c>
      <c r="AE51" s="8">
        <f t="shared" si="72"/>
        <v>0</v>
      </c>
      <c r="AF51" s="8">
        <f t="shared" si="72"/>
        <v>0</v>
      </c>
      <c r="AG51" s="8">
        <f t="shared" si="72"/>
        <v>0</v>
      </c>
      <c r="AI51" s="8">
        <f t="shared" ref="AI51:AL51" si="73">AI13*$AI$1</f>
        <v>1212534.5668484617</v>
      </c>
      <c r="AJ51" s="8">
        <f t="shared" si="73"/>
        <v>0</v>
      </c>
      <c r="AK51" s="8">
        <f t="shared" si="73"/>
        <v>1281432.3585959589</v>
      </c>
      <c r="AL51" s="8">
        <f t="shared" si="73"/>
        <v>0</v>
      </c>
      <c r="AN51" s="8">
        <f>AN13*$AN$1</f>
        <v>0</v>
      </c>
      <c r="AO51" s="8">
        <f t="shared" ref="AO51:AP51" si="74">AO13*$AN$1</f>
        <v>0</v>
      </c>
      <c r="AP51" s="8">
        <f t="shared" si="74"/>
        <v>0</v>
      </c>
      <c r="AQ51" s="8">
        <f t="shared" ref="AQ51" si="75">AQ19*$AI$1</f>
        <v>0</v>
      </c>
    </row>
    <row r="52" spans="1:43" x14ac:dyDescent="0.25">
      <c r="B52"/>
      <c r="C52" s="8"/>
      <c r="D52" s="8"/>
      <c r="E52" s="8"/>
      <c r="F52" s="8"/>
      <c r="G52" s="8"/>
      <c r="H52" s="9"/>
      <c r="I52" s="8"/>
      <c r="J52" s="8"/>
      <c r="K52" s="8"/>
      <c r="L52" s="8"/>
      <c r="M52" s="8"/>
      <c r="N52" s="8"/>
      <c r="O52" s="8"/>
      <c r="P52" s="9"/>
      <c r="Q52" s="8"/>
      <c r="R52" s="8"/>
      <c r="S52" s="8"/>
      <c r="T52" s="8"/>
      <c r="U52" s="8"/>
      <c r="V52" s="8"/>
      <c r="W52" s="8"/>
      <c r="Y52" s="8"/>
      <c r="Z52" s="8"/>
      <c r="AA52" s="8"/>
      <c r="AB52" s="8"/>
      <c r="AD52" s="8"/>
      <c r="AE52" s="8"/>
      <c r="AF52" s="8"/>
      <c r="AG52" s="8"/>
      <c r="AI52" s="8"/>
      <c r="AJ52" s="8"/>
      <c r="AK52" s="8"/>
      <c r="AL52" s="8"/>
      <c r="AN52" s="8"/>
      <c r="AO52" s="8"/>
      <c r="AP52" s="8"/>
      <c r="AQ52" s="8"/>
    </row>
    <row r="53" spans="1:43" x14ac:dyDescent="0.25">
      <c r="B53"/>
      <c r="C53" s="8"/>
      <c r="D53" s="8"/>
      <c r="E53" s="8"/>
      <c r="F53" s="8"/>
      <c r="G53" s="8"/>
      <c r="H53" s="9"/>
      <c r="I53" s="8"/>
      <c r="J53" s="8"/>
      <c r="K53" s="8"/>
      <c r="L53" s="8"/>
      <c r="M53" s="8"/>
      <c r="N53" s="8"/>
      <c r="O53" s="8"/>
      <c r="P53" s="9"/>
      <c r="Q53" s="8"/>
      <c r="R53" s="8"/>
      <c r="S53" s="8"/>
      <c r="T53" s="8"/>
      <c r="U53" s="8"/>
      <c r="V53" s="8"/>
      <c r="W53" s="8"/>
      <c r="Y53" s="8"/>
      <c r="Z53" s="8"/>
      <c r="AA53" s="8"/>
      <c r="AB53" s="8"/>
      <c r="AD53" s="8"/>
      <c r="AE53" s="8"/>
      <c r="AF53" s="8"/>
      <c r="AG53" s="8"/>
      <c r="AI53" s="8"/>
      <c r="AJ53" s="8"/>
      <c r="AK53" s="8"/>
      <c r="AL53" s="8"/>
      <c r="AN53" s="8"/>
      <c r="AO53" s="8"/>
      <c r="AP53" s="8"/>
      <c r="AQ53" s="8">
        <f t="shared" ref="AQ53" si="76">AQ21*$AI$1</f>
        <v>0</v>
      </c>
    </row>
    <row r="54" spans="1:43" x14ac:dyDescent="0.25">
      <c r="B54"/>
      <c r="C54" s="8"/>
      <c r="D54" s="8"/>
      <c r="E54" s="8"/>
      <c r="F54" s="8"/>
      <c r="G54" s="8"/>
      <c r="H54" s="9"/>
      <c r="I54" s="8"/>
      <c r="J54" s="8"/>
      <c r="K54" s="8"/>
      <c r="L54" s="8"/>
      <c r="M54" s="8"/>
      <c r="N54" s="8"/>
      <c r="O54" s="8"/>
      <c r="P54" s="9"/>
      <c r="Q54" s="8"/>
      <c r="R54" s="8"/>
      <c r="S54" s="8"/>
      <c r="T54" s="8"/>
      <c r="U54" s="8"/>
      <c r="V54" s="8"/>
      <c r="W54" s="8"/>
      <c r="Y54" s="8"/>
      <c r="Z54" s="8"/>
      <c r="AA54" s="8"/>
      <c r="AB54" s="8"/>
      <c r="AD54" s="8"/>
      <c r="AE54" s="8"/>
      <c r="AF54" s="8"/>
      <c r="AG54" s="8"/>
      <c r="AI54" s="8"/>
      <c r="AJ54" s="8"/>
      <c r="AK54" s="8"/>
      <c r="AL54" s="8"/>
      <c r="AN54" s="8"/>
      <c r="AO54" s="8"/>
      <c r="AP54" s="8"/>
      <c r="AQ54" s="8">
        <f t="shared" ref="AQ54" si="77">AQ22*$AI$1</f>
        <v>0</v>
      </c>
    </row>
    <row r="55" spans="1:43" x14ac:dyDescent="0.25">
      <c r="A55" s="5" t="str">
        <f t="shared" si="13"/>
        <v>k__Bacteria;p__Proteobacteria;c__Gammaproteobacteria;o__Legionellales;f__Legionellaceae;g__Legionella;Other</v>
      </c>
      <c r="B55"/>
      <c r="C55" s="8">
        <f t="shared" ref="C55:G55" si="78">C17*$C$1</f>
        <v>1121.9124674076136</v>
      </c>
      <c r="D55" s="8">
        <f t="shared" si="78"/>
        <v>710.28244931288077</v>
      </c>
      <c r="E55" s="8">
        <f t="shared" si="78"/>
        <v>2326.3217356790783</v>
      </c>
      <c r="F55" s="8">
        <f t="shared" si="78"/>
        <v>2562.8289172387476</v>
      </c>
      <c r="G55" s="8">
        <f t="shared" si="78"/>
        <v>1530.5938070619563</v>
      </c>
      <c r="H55" s="9"/>
      <c r="I55" s="8">
        <f t="shared" ref="I55:O55" si="79">I17*$I$1</f>
        <v>3598.8896211744955</v>
      </c>
      <c r="J55" s="8">
        <f t="shared" si="79"/>
        <v>4394.9200683928684</v>
      </c>
      <c r="K55" s="8">
        <f t="shared" si="79"/>
        <v>4028.5728674007605</v>
      </c>
      <c r="L55" s="8">
        <f t="shared" si="79"/>
        <v>3830.7470973227128</v>
      </c>
      <c r="M55" s="8">
        <f t="shared" si="79"/>
        <v>1629.1206596262448</v>
      </c>
      <c r="N55" s="8">
        <f t="shared" si="79"/>
        <v>1958.1528880578128</v>
      </c>
      <c r="O55" s="8">
        <f t="shared" si="79"/>
        <v>2340.4081525787742</v>
      </c>
      <c r="P55" s="9"/>
      <c r="Q55" s="8">
        <f t="shared" ref="Q55:W55" si="80">Q17*$Q$1</f>
        <v>2902.0420761423911</v>
      </c>
      <c r="R55" s="8">
        <f t="shared" si="80"/>
        <v>3418.4671434969669</v>
      </c>
      <c r="S55" s="8">
        <f t="shared" si="80"/>
        <v>4193.09731217627</v>
      </c>
      <c r="T55" s="8">
        <f t="shared" si="80"/>
        <v>4155.3568080825071</v>
      </c>
      <c r="U55" s="8">
        <f t="shared" si="80"/>
        <v>2751.0539963434931</v>
      </c>
      <c r="V55" s="8">
        <f t="shared" si="80"/>
        <v>3589.1420150528656</v>
      </c>
      <c r="W55" s="8">
        <f t="shared" si="80"/>
        <v>3838.950404659528</v>
      </c>
      <c r="Y55" s="8">
        <f t="shared" ref="Y55:AB55" si="81">Y17*$Y$1</f>
        <v>9095835.3978574648</v>
      </c>
      <c r="Z55" s="8">
        <f t="shared" si="81"/>
        <v>5686293.3325207187</v>
      </c>
      <c r="AA55" s="8">
        <f t="shared" si="81"/>
        <v>9166357.381334519</v>
      </c>
      <c r="AB55" s="8">
        <f t="shared" si="81"/>
        <v>5742511.8101312788</v>
      </c>
      <c r="AD55" s="8">
        <f t="shared" ref="AD55:AG55" si="82">AD17*$AD$1</f>
        <v>10435860.191543505</v>
      </c>
      <c r="AE55" s="8">
        <f t="shared" si="82"/>
        <v>8047420.5073309895</v>
      </c>
      <c r="AF55" s="8">
        <f t="shared" si="82"/>
        <v>1523646.3299711533</v>
      </c>
      <c r="AG55" s="8">
        <f t="shared" si="82"/>
        <v>3367969.0775172119</v>
      </c>
      <c r="AI55" s="8">
        <f t="shared" ref="AI55:AL55" si="83">AI17*$AI$1</f>
        <v>9700276.534787694</v>
      </c>
      <c r="AJ55" s="8">
        <f t="shared" si="83"/>
        <v>5393712.4001887413</v>
      </c>
      <c r="AK55" s="8">
        <f t="shared" si="83"/>
        <v>2562864.7171965865</v>
      </c>
      <c r="AL55" s="8">
        <f t="shared" si="83"/>
        <v>0</v>
      </c>
      <c r="AN55" s="8">
        <f>AN17*$AN$1</f>
        <v>4957586.8974799169</v>
      </c>
      <c r="AO55" s="8">
        <f t="shared" ref="AO55:AP55" si="84">AO17*$AN$1</f>
        <v>1834878.4435006923</v>
      </c>
      <c r="AP55" s="8">
        <f t="shared" si="84"/>
        <v>486360.0499957201</v>
      </c>
      <c r="AQ55" s="8">
        <f t="shared" ref="AQ55" si="85">AQ23*$AI$1</f>
        <v>0</v>
      </c>
    </row>
    <row r="56" spans="1:43" x14ac:dyDescent="0.25">
      <c r="A56" s="5" t="str">
        <f t="shared" si="13"/>
        <v>k__Bacteria;p__Proteobacteria;c__Gammaproteobacteria;o__Legionellales;f__Legionellaceae;g__Legionella;s__</v>
      </c>
      <c r="B56"/>
      <c r="C56" s="8">
        <f t="shared" ref="C56:G56" si="86">C18*$C$1</f>
        <v>1121.9124674076136</v>
      </c>
      <c r="D56" s="8">
        <f t="shared" si="86"/>
        <v>1657.3257150677359</v>
      </c>
      <c r="E56" s="8">
        <f t="shared" si="86"/>
        <v>1033.9207714142412</v>
      </c>
      <c r="F56" s="8">
        <f t="shared" si="86"/>
        <v>3661.1841674754555</v>
      </c>
      <c r="G56" s="8">
        <f t="shared" si="86"/>
        <v>1785.6927748977112</v>
      </c>
      <c r="H56" s="9"/>
      <c r="I56" s="8">
        <f t="shared" ref="I56:O56" si="87">I18*$I$1</f>
        <v>5190.5112282665605</v>
      </c>
      <c r="J56" s="8">
        <f t="shared" si="87"/>
        <v>3369.4387191125643</v>
      </c>
      <c r="K56" s="8">
        <f t="shared" si="87"/>
        <v>3431.7472574038175</v>
      </c>
      <c r="L56" s="8">
        <f t="shared" si="87"/>
        <v>3667.7365825415718</v>
      </c>
      <c r="M56" s="8">
        <f t="shared" si="87"/>
        <v>3045.7473201719581</v>
      </c>
      <c r="N56" s="8">
        <f t="shared" si="87"/>
        <v>2267.334923015705</v>
      </c>
      <c r="O56" s="8">
        <f t="shared" si="87"/>
        <v>2591.1661689248763</v>
      </c>
      <c r="P56" s="9"/>
      <c r="Q56" s="8">
        <f t="shared" ref="Q56:W56" si="88">Q18*$Q$1</f>
        <v>2832.9458362348701</v>
      </c>
      <c r="R56" s="8">
        <f t="shared" si="88"/>
        <v>4408.0234218697924</v>
      </c>
      <c r="S56" s="8">
        <f t="shared" si="88"/>
        <v>2445.973432099036</v>
      </c>
      <c r="T56" s="8">
        <f t="shared" si="88"/>
        <v>4095.9945679751595</v>
      </c>
      <c r="U56" s="8">
        <f t="shared" si="88"/>
        <v>3376.2935409668421</v>
      </c>
      <c r="V56" s="8">
        <f t="shared" si="88"/>
        <v>1656.5270838723015</v>
      </c>
      <c r="W56" s="8">
        <f t="shared" si="88"/>
        <v>1310.8611137833161</v>
      </c>
      <c r="Y56" s="8">
        <f t="shared" ref="Y56:AB56" si="89">Y18*$Y$1</f>
        <v>7796430.3410059419</v>
      </c>
      <c r="Z56" s="8">
        <f t="shared" si="89"/>
        <v>2843146.6662643286</v>
      </c>
      <c r="AA56" s="8">
        <f t="shared" si="89"/>
        <v>13749536.071962088</v>
      </c>
      <c r="AB56" s="8">
        <f t="shared" si="89"/>
        <v>11485023.620294308</v>
      </c>
      <c r="AD56" s="8">
        <f t="shared" ref="AD56:AG56" si="90">AD18*$AD$1</f>
        <v>8348688.1532348031</v>
      </c>
      <c r="AE56" s="8">
        <f t="shared" si="90"/>
        <v>7376802.1317299418</v>
      </c>
      <c r="AF56" s="8">
        <f t="shared" si="90"/>
        <v>8633995.8698470611</v>
      </c>
      <c r="AG56" s="8">
        <f t="shared" si="90"/>
        <v>10852344.805326661</v>
      </c>
      <c r="AI56" s="8">
        <f t="shared" ref="AI56:AL56" si="91">AI18*$AI$1</f>
        <v>12125345.668484617</v>
      </c>
      <c r="AJ56" s="8">
        <f t="shared" si="91"/>
        <v>12135852.900448009</v>
      </c>
      <c r="AK56" s="8">
        <f t="shared" si="91"/>
        <v>3844297.075792545</v>
      </c>
      <c r="AL56" s="8">
        <f t="shared" si="91"/>
        <v>6510820.1985651311</v>
      </c>
      <c r="AN56" s="8">
        <f>AN18*$AN$1</f>
        <v>2754214.9430510579</v>
      </c>
      <c r="AO56" s="8">
        <f t="shared" ref="AO56:AP56" si="92">AO18*$AN$1</f>
        <v>917439.22174794879</v>
      </c>
      <c r="AP56" s="8">
        <f t="shared" si="92"/>
        <v>1215900.1249863037</v>
      </c>
      <c r="AQ56" s="8">
        <f t="shared" ref="AQ56" si="93">AQ24*$AI$1</f>
        <v>0</v>
      </c>
    </row>
    <row r="57" spans="1:43" x14ac:dyDescent="0.25">
      <c r="A57" s="5" t="str">
        <f t="shared" si="13"/>
        <v>k__Bacteria;p__Proteobacteria;c__Gammaproteobacteria;o__Legionellales;f__Legionellaceae;g__Legionella;s__pneumophila</v>
      </c>
      <c r="B57"/>
      <c r="C57" s="8">
        <f t="shared" ref="C57:G57" si="94">C19*$C$1</f>
        <v>0</v>
      </c>
      <c r="D57" s="8">
        <f t="shared" si="94"/>
        <v>0</v>
      </c>
      <c r="E57" s="8">
        <f t="shared" si="94"/>
        <v>258.48019285296743</v>
      </c>
      <c r="F57" s="8">
        <f t="shared" si="94"/>
        <v>0</v>
      </c>
      <c r="G57" s="8">
        <f t="shared" si="94"/>
        <v>0</v>
      </c>
      <c r="H57" s="9"/>
      <c r="I57" s="8">
        <f t="shared" ref="I57:O57" si="95">I19*$I$1</f>
        <v>0</v>
      </c>
      <c r="J57" s="8">
        <f t="shared" si="95"/>
        <v>0</v>
      </c>
      <c r="K57" s="8">
        <f t="shared" si="95"/>
        <v>0</v>
      </c>
      <c r="L57" s="8">
        <f t="shared" si="95"/>
        <v>0</v>
      </c>
      <c r="M57" s="8">
        <f t="shared" si="95"/>
        <v>0</v>
      </c>
      <c r="N57" s="8">
        <f t="shared" si="95"/>
        <v>4225.487811058365</v>
      </c>
      <c r="O57" s="8">
        <f t="shared" si="95"/>
        <v>5851.020381446936</v>
      </c>
      <c r="P57" s="9"/>
      <c r="Q57" s="8">
        <f t="shared" ref="Q57:W57" si="96">Q19*$Q$1</f>
        <v>0</v>
      </c>
      <c r="R57" s="8">
        <f t="shared" si="96"/>
        <v>0</v>
      </c>
      <c r="S57" s="8">
        <f t="shared" si="96"/>
        <v>0</v>
      </c>
      <c r="T57" s="8">
        <f t="shared" si="96"/>
        <v>0</v>
      </c>
      <c r="U57" s="8">
        <f t="shared" si="96"/>
        <v>0</v>
      </c>
      <c r="V57" s="8">
        <f t="shared" si="96"/>
        <v>0</v>
      </c>
      <c r="W57" s="8">
        <f t="shared" si="96"/>
        <v>0</v>
      </c>
      <c r="Y57" s="8">
        <f t="shared" ref="Y57:AB57" si="97">Y19*$Y$1</f>
        <v>0</v>
      </c>
      <c r="Z57" s="8">
        <f t="shared" si="97"/>
        <v>0</v>
      </c>
      <c r="AA57" s="8">
        <f t="shared" si="97"/>
        <v>6874768.0359731056</v>
      </c>
      <c r="AB57" s="8">
        <f t="shared" si="97"/>
        <v>21055876.637153313</v>
      </c>
      <c r="AD57" s="8">
        <f t="shared" ref="AD57:AG57" si="98">AD19*$AD$1</f>
        <v>0</v>
      </c>
      <c r="AE57" s="8">
        <f t="shared" si="98"/>
        <v>0</v>
      </c>
      <c r="AF57" s="8">
        <f t="shared" si="98"/>
        <v>0</v>
      </c>
      <c r="AG57" s="8">
        <f t="shared" si="98"/>
        <v>0</v>
      </c>
      <c r="AI57" s="8">
        <f t="shared" ref="AI57:AL57" si="99">AI19*$AI$1</f>
        <v>0</v>
      </c>
      <c r="AJ57" s="8">
        <f t="shared" si="99"/>
        <v>0</v>
      </c>
      <c r="AK57" s="8">
        <f t="shared" si="99"/>
        <v>0</v>
      </c>
      <c r="AL57" s="8">
        <f t="shared" si="99"/>
        <v>0</v>
      </c>
      <c r="AN57" s="8">
        <f>AN19*$AN$1</f>
        <v>0</v>
      </c>
      <c r="AO57" s="8">
        <f t="shared" ref="AO57:AP57" si="100">AO19*$AN$1</f>
        <v>0</v>
      </c>
      <c r="AP57" s="8">
        <f t="shared" si="100"/>
        <v>0</v>
      </c>
      <c r="AQ57" s="8">
        <f t="shared" ref="AQ57" si="101">AQ25*$AI$1</f>
        <v>0</v>
      </c>
    </row>
    <row r="58" spans="1:43" x14ac:dyDescent="0.25">
      <c r="B58"/>
      <c r="C58" s="8"/>
      <c r="D58" s="8"/>
      <c r="E58" s="8"/>
      <c r="F58" s="8"/>
      <c r="G58" s="8"/>
      <c r="H58" s="9"/>
      <c r="I58" s="8"/>
      <c r="J58" s="8"/>
      <c r="K58" s="8"/>
      <c r="L58" s="8"/>
      <c r="M58" s="8"/>
      <c r="N58" s="8"/>
      <c r="O58" s="8"/>
      <c r="P58" s="9"/>
      <c r="Q58" s="8"/>
      <c r="R58" s="8"/>
      <c r="S58" s="8"/>
      <c r="T58" s="8"/>
      <c r="U58" s="8"/>
      <c r="V58" s="8"/>
      <c r="W58" s="8"/>
      <c r="Y58" s="8"/>
      <c r="Z58" s="8"/>
      <c r="AA58" s="8"/>
      <c r="AB58" s="8"/>
      <c r="AD58" s="8"/>
      <c r="AE58" s="8"/>
      <c r="AF58" s="8"/>
      <c r="AG58" s="8"/>
      <c r="AI58" s="8"/>
      <c r="AJ58" s="8"/>
      <c r="AK58" s="8"/>
      <c r="AL58" s="8"/>
      <c r="AN58" s="8"/>
      <c r="AO58" s="8"/>
      <c r="AP58" s="8"/>
      <c r="AQ58" s="8">
        <f t="shared" ref="AQ58" si="102">AQ26*$AI$1</f>
        <v>0</v>
      </c>
    </row>
    <row r="59" spans="1:43" x14ac:dyDescent="0.25">
      <c r="A59" s="5" t="str">
        <f t="shared" si="13"/>
        <v>k__Bacteria;p__Nitrospirae;c__Nitrospira;o__Nitrospirales;f__Nitrospiraceae;g__Nitrospira;Other</v>
      </c>
      <c r="B59"/>
      <c r="C59" s="8">
        <f t="shared" ref="C59:G59" si="103">C21*$C$1</f>
        <v>0</v>
      </c>
      <c r="D59" s="8">
        <f t="shared" si="103"/>
        <v>0</v>
      </c>
      <c r="E59" s="8">
        <f t="shared" si="103"/>
        <v>0</v>
      </c>
      <c r="F59" s="8">
        <f t="shared" si="103"/>
        <v>0</v>
      </c>
      <c r="G59" s="8">
        <f t="shared" si="103"/>
        <v>0</v>
      </c>
      <c r="H59" s="9"/>
      <c r="I59" s="8">
        <f t="shared" ref="I59:O59" si="104">I21*$I$1</f>
        <v>10.137717242747192</v>
      </c>
      <c r="J59" s="8">
        <f t="shared" si="104"/>
        <v>0</v>
      </c>
      <c r="K59" s="8">
        <f t="shared" si="104"/>
        <v>0</v>
      </c>
      <c r="L59" s="8">
        <f t="shared" si="104"/>
        <v>0</v>
      </c>
      <c r="M59" s="8">
        <f t="shared" si="104"/>
        <v>0</v>
      </c>
      <c r="N59" s="8">
        <f t="shared" si="104"/>
        <v>0</v>
      </c>
      <c r="O59" s="8">
        <f t="shared" si="104"/>
        <v>0</v>
      </c>
      <c r="P59" s="9"/>
      <c r="Q59" s="8">
        <f t="shared" ref="Q59:W59" si="105">Q21*$Q$1</f>
        <v>0</v>
      </c>
      <c r="R59" s="8">
        <f t="shared" si="105"/>
        <v>0</v>
      </c>
      <c r="S59" s="8">
        <f t="shared" si="105"/>
        <v>0</v>
      </c>
      <c r="T59" s="8">
        <f t="shared" si="105"/>
        <v>0</v>
      </c>
      <c r="U59" s="8">
        <f t="shared" si="105"/>
        <v>125.0479089246698</v>
      </c>
      <c r="V59" s="8">
        <f t="shared" si="105"/>
        <v>138.04392365602516</v>
      </c>
      <c r="W59" s="8">
        <f t="shared" si="105"/>
        <v>93.632936698754165</v>
      </c>
      <c r="Y59" s="8">
        <f t="shared" ref="Y59:AB59" si="106">Y21*$Y$1</f>
        <v>0</v>
      </c>
      <c r="Z59" s="8">
        <f t="shared" si="106"/>
        <v>0</v>
      </c>
      <c r="AA59" s="8">
        <f t="shared" si="106"/>
        <v>0</v>
      </c>
      <c r="AB59" s="8">
        <f t="shared" si="106"/>
        <v>0</v>
      </c>
      <c r="AD59" s="8">
        <f t="shared" ref="AD59:AG59" si="107">AD21*$AD$1</f>
        <v>0</v>
      </c>
      <c r="AE59" s="8">
        <f t="shared" si="107"/>
        <v>0</v>
      </c>
      <c r="AF59" s="8">
        <f t="shared" si="107"/>
        <v>0</v>
      </c>
      <c r="AG59" s="8">
        <f t="shared" si="107"/>
        <v>0</v>
      </c>
      <c r="AI59" s="8">
        <f t="shared" ref="AI59:AL59" si="108">AI21*$AI$1</f>
        <v>0</v>
      </c>
      <c r="AJ59" s="8">
        <f t="shared" si="108"/>
        <v>0</v>
      </c>
      <c r="AK59" s="8">
        <f t="shared" si="108"/>
        <v>0</v>
      </c>
      <c r="AL59" s="8">
        <f t="shared" si="108"/>
        <v>0</v>
      </c>
      <c r="AN59" s="8">
        <f t="shared" ref="AN59:AN70" si="109">AN21*$AN$1</f>
        <v>0</v>
      </c>
      <c r="AO59" s="8">
        <f t="shared" ref="AO59:AP59" si="110">AO21*$AN$1</f>
        <v>0</v>
      </c>
      <c r="AP59" s="8">
        <f t="shared" si="110"/>
        <v>0</v>
      </c>
      <c r="AQ59" s="8">
        <f t="shared" ref="AQ59" si="111">AQ27*$AI$1</f>
        <v>0</v>
      </c>
    </row>
    <row r="60" spans="1:43" x14ac:dyDescent="0.25">
      <c r="A60" s="5" t="str">
        <f t="shared" si="13"/>
        <v>k__Bacteria;p__Nitrospirae;c__Nitrospira;o__Nitrospirales;f__Nitrospiraceae;g__Nitrospira;s__</v>
      </c>
      <c r="B60"/>
      <c r="C60" s="8">
        <f t="shared" ref="C60:G60" si="112">C22*$C$1</f>
        <v>2243.8249348175982</v>
      </c>
      <c r="D60" s="8">
        <f t="shared" si="112"/>
        <v>947.04326575129801</v>
      </c>
      <c r="E60" s="8">
        <f t="shared" si="112"/>
        <v>0</v>
      </c>
      <c r="F60" s="8">
        <f t="shared" si="112"/>
        <v>1830.5920837436563</v>
      </c>
      <c r="G60" s="8">
        <f t="shared" si="112"/>
        <v>2295.8907105929343</v>
      </c>
      <c r="H60" s="9"/>
      <c r="I60" s="8">
        <f t="shared" ref="I60:O60" si="113">I22*$I$1</f>
        <v>2068.0943175213365</v>
      </c>
      <c r="J60" s="8">
        <f t="shared" si="113"/>
        <v>2050.9626985909154</v>
      </c>
      <c r="K60" s="8">
        <f t="shared" si="113"/>
        <v>3431.7472574038175</v>
      </c>
      <c r="L60" s="8">
        <f t="shared" si="113"/>
        <v>3504.7260677642194</v>
      </c>
      <c r="M60" s="8">
        <f t="shared" si="113"/>
        <v>2195.7713238460451</v>
      </c>
      <c r="N60" s="8">
        <f t="shared" si="113"/>
        <v>8450.9756221546122</v>
      </c>
      <c r="O60" s="8">
        <f t="shared" si="113"/>
        <v>7439.1544849722513</v>
      </c>
      <c r="P60" s="9"/>
      <c r="Q60" s="8">
        <f t="shared" ref="Q60:W60" si="114">Q22*$Q$1</f>
        <v>4629.4480738531402</v>
      </c>
      <c r="R60" s="8">
        <f t="shared" si="114"/>
        <v>4677.9024068953713</v>
      </c>
      <c r="S60" s="8">
        <f t="shared" si="114"/>
        <v>5066.6592522035226</v>
      </c>
      <c r="T60" s="8">
        <f t="shared" si="114"/>
        <v>4511.5302487644694</v>
      </c>
      <c r="U60" s="8">
        <f t="shared" si="114"/>
        <v>2751.0539963434931</v>
      </c>
      <c r="V60" s="8">
        <f t="shared" si="114"/>
        <v>4003.2737860266229</v>
      </c>
      <c r="W60" s="8">
        <f t="shared" si="114"/>
        <v>3183.5198477621875</v>
      </c>
      <c r="Y60" s="8">
        <f t="shared" ref="Y60:AB60" si="115">Y22*$Y$1</f>
        <v>38982151.7050694</v>
      </c>
      <c r="Z60" s="8">
        <f t="shared" si="115"/>
        <v>65392373.324031934</v>
      </c>
      <c r="AA60" s="8">
        <f t="shared" si="115"/>
        <v>71039269.705044836</v>
      </c>
      <c r="AB60" s="8">
        <f t="shared" si="115"/>
        <v>68910141.721607089</v>
      </c>
      <c r="AD60" s="8">
        <f t="shared" ref="AD60:AG60" si="116">AD22*$AD$1</f>
        <v>3756909.6689477665</v>
      </c>
      <c r="AE60" s="8">
        <f t="shared" si="116"/>
        <v>8047420.5073309895</v>
      </c>
      <c r="AF60" s="8">
        <f t="shared" si="116"/>
        <v>3047292.6599344118</v>
      </c>
      <c r="AG60" s="8">
        <f t="shared" si="116"/>
        <v>6361719.368637044</v>
      </c>
      <c r="AI60" s="8">
        <f t="shared" ref="AI60:AL60" si="117">AI22*$AI$1</f>
        <v>75177143.144697979</v>
      </c>
      <c r="AJ60" s="8">
        <f t="shared" si="117"/>
        <v>91693110.803488716</v>
      </c>
      <c r="AK60" s="8">
        <f t="shared" si="117"/>
        <v>44850132.550928585</v>
      </c>
      <c r="AL60" s="8">
        <f t="shared" si="117"/>
        <v>75959568.983493268</v>
      </c>
      <c r="AN60" s="8">
        <f t="shared" si="109"/>
        <v>8813487.8177513983</v>
      </c>
      <c r="AO60" s="8">
        <f t="shared" ref="AO60:AP60" si="118">AO22*$AN$1</f>
        <v>12844149.104480874</v>
      </c>
      <c r="AP60" s="8">
        <f t="shared" si="118"/>
        <v>8024940.8249239875</v>
      </c>
      <c r="AQ60" s="8">
        <f t="shared" ref="AQ60" si="119">AQ28*$AI$1</f>
        <v>0</v>
      </c>
    </row>
    <row r="61" spans="1:43" x14ac:dyDescent="0.25">
      <c r="A61" s="5" t="str">
        <f t="shared" si="13"/>
        <v>k__Bacteria;p__Nitrospirae;c__Nitrospira;o__Nitrospirales;f__[Thermodesulfovibrionaceae];g__GOUTA19;s__</v>
      </c>
      <c r="B61"/>
      <c r="C61" s="8">
        <f t="shared" ref="C61:G61" si="120">C23*$C$1</f>
        <v>747.94164493761843</v>
      </c>
      <c r="D61" s="8">
        <f t="shared" si="120"/>
        <v>236.76081643723168</v>
      </c>
      <c r="E61" s="8">
        <f t="shared" si="120"/>
        <v>1292.4009642648373</v>
      </c>
      <c r="F61" s="8">
        <f t="shared" si="120"/>
        <v>732.23683349627686</v>
      </c>
      <c r="G61" s="8">
        <f t="shared" si="120"/>
        <v>255.09896784286894</v>
      </c>
      <c r="H61" s="9"/>
      <c r="I61" s="8">
        <f t="shared" ref="I61:O61" si="121">I23*$I$1</f>
        <v>0</v>
      </c>
      <c r="J61" s="8">
        <f t="shared" si="121"/>
        <v>0</v>
      </c>
      <c r="K61" s="8">
        <f t="shared" si="121"/>
        <v>0</v>
      </c>
      <c r="L61" s="8">
        <f t="shared" si="121"/>
        <v>0</v>
      </c>
      <c r="M61" s="8">
        <f t="shared" si="121"/>
        <v>0</v>
      </c>
      <c r="N61" s="8">
        <f t="shared" si="121"/>
        <v>0</v>
      </c>
      <c r="O61" s="8">
        <f t="shared" si="121"/>
        <v>0</v>
      </c>
      <c r="P61" s="9"/>
      <c r="Q61" s="8">
        <f t="shared" ref="Q61:W61" si="122">Q23*$Q$1</f>
        <v>0</v>
      </c>
      <c r="R61" s="8">
        <f t="shared" si="122"/>
        <v>0</v>
      </c>
      <c r="S61" s="8">
        <f t="shared" si="122"/>
        <v>0</v>
      </c>
      <c r="T61" s="8">
        <f t="shared" si="122"/>
        <v>0</v>
      </c>
      <c r="U61" s="8">
        <f t="shared" si="122"/>
        <v>0</v>
      </c>
      <c r="V61" s="8">
        <f t="shared" si="122"/>
        <v>0</v>
      </c>
      <c r="W61" s="8">
        <f t="shared" si="122"/>
        <v>0</v>
      </c>
      <c r="Y61" s="8">
        <f t="shared" ref="Y61:AB61" si="123">Y23*$Y$1</f>
        <v>0</v>
      </c>
      <c r="Z61" s="8">
        <f t="shared" si="123"/>
        <v>0</v>
      </c>
      <c r="AA61" s="8">
        <f t="shared" si="123"/>
        <v>0</v>
      </c>
      <c r="AB61" s="8">
        <f t="shared" si="123"/>
        <v>0</v>
      </c>
      <c r="AD61" s="8">
        <f t="shared" ref="AD61:AG61" si="124">AD23*$AD$1</f>
        <v>0</v>
      </c>
      <c r="AE61" s="8">
        <f t="shared" si="124"/>
        <v>0</v>
      </c>
      <c r="AF61" s="8">
        <f t="shared" si="124"/>
        <v>0</v>
      </c>
      <c r="AG61" s="8">
        <f t="shared" si="124"/>
        <v>0</v>
      </c>
      <c r="AI61" s="8">
        <f t="shared" ref="AI61:AL61" si="125">AI23*$AI$1</f>
        <v>0</v>
      </c>
      <c r="AJ61" s="8">
        <f t="shared" si="125"/>
        <v>0</v>
      </c>
      <c r="AK61" s="8">
        <f t="shared" si="125"/>
        <v>0</v>
      </c>
      <c r="AL61" s="8">
        <f t="shared" si="125"/>
        <v>0</v>
      </c>
      <c r="AN61" s="8">
        <f t="shared" si="109"/>
        <v>0</v>
      </c>
      <c r="AO61" s="8">
        <f t="shared" ref="AO61:AP61" si="126">AO23*$AN$1</f>
        <v>0</v>
      </c>
      <c r="AP61" s="8">
        <f t="shared" si="126"/>
        <v>0</v>
      </c>
      <c r="AQ61" s="8">
        <f t="shared" ref="AQ61" si="127">AQ29*$AI$1</f>
        <v>0</v>
      </c>
    </row>
    <row r="62" spans="1:43" x14ac:dyDescent="0.25">
      <c r="A62" s="5" t="str">
        <f t="shared" si="13"/>
        <v>k__Bacteria;p__Nitrospirae;c__Nitrospira;o__Nitrospirales;f__[Thermodesulfovibrionaceae];g__LCP-6;s__</v>
      </c>
      <c r="B62"/>
      <c r="C62" s="8">
        <f t="shared" ref="C62:G62" si="128">C24*$C$1</f>
        <v>373.97082246880922</v>
      </c>
      <c r="D62" s="8">
        <f t="shared" si="128"/>
        <v>236.76081643723168</v>
      </c>
      <c r="E62" s="8">
        <f t="shared" si="128"/>
        <v>0</v>
      </c>
      <c r="F62" s="8">
        <f t="shared" si="128"/>
        <v>0</v>
      </c>
      <c r="G62" s="8">
        <f t="shared" si="128"/>
        <v>0</v>
      </c>
      <c r="H62" s="9"/>
      <c r="I62" s="8">
        <f t="shared" ref="I62:O62" si="129">I24*$I$1</f>
        <v>0</v>
      </c>
      <c r="J62" s="8">
        <f t="shared" si="129"/>
        <v>0</v>
      </c>
      <c r="K62" s="8">
        <f t="shared" si="129"/>
        <v>0</v>
      </c>
      <c r="L62" s="8">
        <f t="shared" si="129"/>
        <v>0</v>
      </c>
      <c r="M62" s="8">
        <f t="shared" si="129"/>
        <v>0</v>
      </c>
      <c r="N62" s="8">
        <f t="shared" si="129"/>
        <v>0</v>
      </c>
      <c r="O62" s="8">
        <f t="shared" si="129"/>
        <v>0</v>
      </c>
      <c r="P62" s="9"/>
      <c r="Q62" s="8">
        <f t="shared" ref="Q62:W62" si="130">Q24*$Q$1</f>
        <v>0</v>
      </c>
      <c r="R62" s="8">
        <f t="shared" si="130"/>
        <v>0</v>
      </c>
      <c r="S62" s="8">
        <f t="shared" si="130"/>
        <v>0</v>
      </c>
      <c r="T62" s="8">
        <f t="shared" si="130"/>
        <v>0</v>
      </c>
      <c r="U62" s="8">
        <f t="shared" si="130"/>
        <v>0</v>
      </c>
      <c r="V62" s="8">
        <f t="shared" si="130"/>
        <v>0</v>
      </c>
      <c r="W62" s="8">
        <f t="shared" si="130"/>
        <v>0</v>
      </c>
      <c r="Y62" s="8">
        <f t="shared" ref="Y62:AB62" si="131">Y24*$Y$1</f>
        <v>0</v>
      </c>
      <c r="Z62" s="8">
        <f t="shared" si="131"/>
        <v>0</v>
      </c>
      <c r="AA62" s="8">
        <f t="shared" si="131"/>
        <v>0</v>
      </c>
      <c r="AB62" s="8">
        <f t="shared" si="131"/>
        <v>0</v>
      </c>
      <c r="AD62" s="8">
        <f t="shared" ref="AD62:AG62" si="132">AD24*$AD$1</f>
        <v>0</v>
      </c>
      <c r="AE62" s="8">
        <f t="shared" si="132"/>
        <v>0</v>
      </c>
      <c r="AF62" s="8">
        <f t="shared" si="132"/>
        <v>0</v>
      </c>
      <c r="AG62" s="8">
        <f t="shared" si="132"/>
        <v>0</v>
      </c>
      <c r="AI62" s="8">
        <f t="shared" ref="AI62:AL62" si="133">AI24*$AI$1</f>
        <v>0</v>
      </c>
      <c r="AJ62" s="8">
        <f t="shared" si="133"/>
        <v>0</v>
      </c>
      <c r="AK62" s="8">
        <f t="shared" si="133"/>
        <v>0</v>
      </c>
      <c r="AL62" s="8">
        <f t="shared" si="133"/>
        <v>0</v>
      </c>
      <c r="AN62" s="8">
        <f t="shared" si="109"/>
        <v>0</v>
      </c>
      <c r="AO62" s="8">
        <f t="shared" ref="AO62:AP62" si="134">AO24*$AN$1</f>
        <v>0</v>
      </c>
      <c r="AP62" s="8">
        <f t="shared" si="134"/>
        <v>0</v>
      </c>
      <c r="AQ62" s="8">
        <f t="shared" ref="AQ62" si="135">AQ30*$AI$1</f>
        <v>0</v>
      </c>
    </row>
    <row r="63" spans="1:43" x14ac:dyDescent="0.25">
      <c r="A63" s="5" t="str">
        <f t="shared" si="13"/>
        <v>k__Bacteria;p__Proteobacteria;c__Alphaproteobacteria;o__Sphingomonadales;f__Sphingomonadaceae;g__Novosphingobium;s__nitrogenifigens</v>
      </c>
      <c r="B63"/>
      <c r="C63" s="8">
        <f t="shared" ref="C63:G63" si="136">C25*$C$1</f>
        <v>0</v>
      </c>
      <c r="D63" s="8">
        <f t="shared" si="136"/>
        <v>0</v>
      </c>
      <c r="E63" s="8">
        <f t="shared" si="136"/>
        <v>0</v>
      </c>
      <c r="F63" s="8">
        <f t="shared" si="136"/>
        <v>0</v>
      </c>
      <c r="G63" s="8">
        <f t="shared" si="136"/>
        <v>0</v>
      </c>
      <c r="H63" s="9"/>
      <c r="I63" s="8">
        <f t="shared" ref="I63:O63" si="137">I25*$I$1</f>
        <v>0</v>
      </c>
      <c r="J63" s="8">
        <f t="shared" si="137"/>
        <v>0</v>
      </c>
      <c r="K63" s="8">
        <f t="shared" si="137"/>
        <v>0</v>
      </c>
      <c r="L63" s="8">
        <f t="shared" si="137"/>
        <v>0</v>
      </c>
      <c r="M63" s="8">
        <f t="shared" si="137"/>
        <v>0</v>
      </c>
      <c r="N63" s="8">
        <f t="shared" si="137"/>
        <v>0</v>
      </c>
      <c r="O63" s="8">
        <f t="shared" si="137"/>
        <v>0</v>
      </c>
      <c r="P63" s="9"/>
      <c r="Q63" s="8">
        <f t="shared" ref="Q63:W63" si="138">Q25*$Q$1</f>
        <v>0</v>
      </c>
      <c r="R63" s="8">
        <f t="shared" si="138"/>
        <v>0</v>
      </c>
      <c r="S63" s="8">
        <f t="shared" si="138"/>
        <v>0</v>
      </c>
      <c r="T63" s="8">
        <f t="shared" si="138"/>
        <v>0</v>
      </c>
      <c r="U63" s="8">
        <f t="shared" si="138"/>
        <v>0</v>
      </c>
      <c r="V63" s="8">
        <f t="shared" si="138"/>
        <v>0</v>
      </c>
      <c r="W63" s="8">
        <f t="shared" si="138"/>
        <v>0</v>
      </c>
      <c r="Y63" s="8">
        <f t="shared" ref="Y63:AB63" si="139">Y25*$Y$1</f>
        <v>0</v>
      </c>
      <c r="Z63" s="8">
        <f t="shared" si="139"/>
        <v>0</v>
      </c>
      <c r="AA63" s="8">
        <f t="shared" si="139"/>
        <v>0</v>
      </c>
      <c r="AB63" s="8">
        <f t="shared" si="139"/>
        <v>0</v>
      </c>
      <c r="AD63" s="8">
        <f t="shared" ref="AD63:AG63" si="140">AD25*$AD$1</f>
        <v>0</v>
      </c>
      <c r="AE63" s="8">
        <f t="shared" si="140"/>
        <v>0</v>
      </c>
      <c r="AF63" s="8">
        <f t="shared" si="140"/>
        <v>0</v>
      </c>
      <c r="AG63" s="8">
        <f t="shared" si="140"/>
        <v>0</v>
      </c>
      <c r="AI63" s="8">
        <f t="shared" ref="AI63:AL63" si="141">AI25*$AI$1</f>
        <v>0</v>
      </c>
      <c r="AJ63" s="8">
        <f t="shared" si="141"/>
        <v>0</v>
      </c>
      <c r="AK63" s="8">
        <f t="shared" si="141"/>
        <v>0</v>
      </c>
      <c r="AL63" s="8">
        <f t="shared" si="141"/>
        <v>0</v>
      </c>
      <c r="AN63" s="8">
        <f t="shared" si="109"/>
        <v>0</v>
      </c>
      <c r="AO63" s="8">
        <f t="shared" ref="AO63:AP63" si="142">AO25*$AN$1</f>
        <v>0</v>
      </c>
      <c r="AP63" s="8">
        <f t="shared" si="142"/>
        <v>0</v>
      </c>
      <c r="AQ63" s="8">
        <f t="shared" ref="AQ63" si="143">AQ31*$AI$1</f>
        <v>0</v>
      </c>
    </row>
    <row r="64" spans="1:43" x14ac:dyDescent="0.25">
      <c r="A64" s="5" t="str">
        <f t="shared" si="13"/>
        <v>k__Bacteria;p__Proteobacteria;c__Betaproteobacteria;o__Nitrosomonadales;f__Nitrosomonadaceae;g__Nitrosomonas;Other</v>
      </c>
      <c r="B64"/>
      <c r="C64" s="8">
        <f t="shared" ref="C64:G64" si="144">C26*$C$1</f>
        <v>0</v>
      </c>
      <c r="D64" s="8">
        <f t="shared" si="144"/>
        <v>0</v>
      </c>
      <c r="E64" s="8">
        <f t="shared" si="144"/>
        <v>0</v>
      </c>
      <c r="F64" s="8">
        <f t="shared" si="144"/>
        <v>0</v>
      </c>
      <c r="G64" s="8">
        <f t="shared" si="144"/>
        <v>0</v>
      </c>
      <c r="H64" s="9"/>
      <c r="I64" s="8">
        <f t="shared" ref="I64:O64" si="145">I26*$I$1</f>
        <v>0</v>
      </c>
      <c r="J64" s="8">
        <f t="shared" si="145"/>
        <v>0</v>
      </c>
      <c r="K64" s="8">
        <f t="shared" si="145"/>
        <v>0</v>
      </c>
      <c r="L64" s="8">
        <f t="shared" si="145"/>
        <v>0</v>
      </c>
      <c r="M64" s="8">
        <f t="shared" si="145"/>
        <v>0</v>
      </c>
      <c r="N64" s="8">
        <f t="shared" si="145"/>
        <v>0</v>
      </c>
      <c r="O64" s="8">
        <f t="shared" si="145"/>
        <v>83.586005449079593</v>
      </c>
      <c r="P64" s="9"/>
      <c r="Q64" s="8">
        <f t="shared" ref="Q64:W64" si="146">Q26*$Q$1</f>
        <v>0</v>
      </c>
      <c r="R64" s="8">
        <f t="shared" si="146"/>
        <v>0</v>
      </c>
      <c r="S64" s="8">
        <f t="shared" si="146"/>
        <v>87.356194003482884</v>
      </c>
      <c r="T64" s="8">
        <f t="shared" si="146"/>
        <v>0</v>
      </c>
      <c r="U64" s="8">
        <f t="shared" si="146"/>
        <v>0</v>
      </c>
      <c r="V64" s="8">
        <f t="shared" si="146"/>
        <v>0</v>
      </c>
      <c r="W64" s="8">
        <f t="shared" si="146"/>
        <v>0</v>
      </c>
      <c r="Y64" s="8">
        <f t="shared" ref="Y64:AB64" si="147">Y26*$Y$1</f>
        <v>0</v>
      </c>
      <c r="Z64" s="8">
        <f t="shared" si="147"/>
        <v>0</v>
      </c>
      <c r="AA64" s="8">
        <f t="shared" si="147"/>
        <v>0</v>
      </c>
      <c r="AB64" s="8">
        <f t="shared" si="147"/>
        <v>0</v>
      </c>
      <c r="AD64" s="8">
        <f t="shared" ref="AD64:AG64" si="148">AD26*$AD$1</f>
        <v>0</v>
      </c>
      <c r="AE64" s="8">
        <f t="shared" si="148"/>
        <v>0</v>
      </c>
      <c r="AF64" s="8">
        <f t="shared" si="148"/>
        <v>0</v>
      </c>
      <c r="AG64" s="8">
        <f t="shared" si="148"/>
        <v>0</v>
      </c>
      <c r="AI64" s="8">
        <f t="shared" ref="AI64:AL64" si="149">AI26*$AI$1</f>
        <v>0</v>
      </c>
      <c r="AJ64" s="8">
        <f t="shared" si="149"/>
        <v>0</v>
      </c>
      <c r="AK64" s="8">
        <f t="shared" si="149"/>
        <v>0</v>
      </c>
      <c r="AL64" s="8">
        <f t="shared" si="149"/>
        <v>0</v>
      </c>
      <c r="AN64" s="8">
        <f t="shared" si="109"/>
        <v>0</v>
      </c>
      <c r="AO64" s="8">
        <f t="shared" ref="AO64:AP64" si="150">AO26*$AN$1</f>
        <v>0</v>
      </c>
      <c r="AP64" s="8">
        <f t="shared" si="150"/>
        <v>0</v>
      </c>
      <c r="AQ64" s="8">
        <f t="shared" ref="AQ64" si="151">AQ32*$AI$1</f>
        <v>0</v>
      </c>
    </row>
    <row r="65" spans="1:42" x14ac:dyDescent="0.25">
      <c r="A65" s="5" t="str">
        <f t="shared" si="13"/>
        <v>k__Bacteria;p__Proteobacteria;c__Betaproteobacteria;o__Nitrosomonadales;f__Nitrosomonadaceae;g__Nitrosomonas;s__oligotropha</v>
      </c>
      <c r="B65"/>
      <c r="C65" s="8">
        <f t="shared" ref="C65:G65" si="152">C27*$C$1</f>
        <v>0</v>
      </c>
      <c r="D65" s="8">
        <f t="shared" si="152"/>
        <v>0</v>
      </c>
      <c r="E65" s="8">
        <f t="shared" si="152"/>
        <v>0</v>
      </c>
      <c r="F65" s="8">
        <f t="shared" si="152"/>
        <v>0</v>
      </c>
      <c r="G65" s="8">
        <f t="shared" si="152"/>
        <v>0</v>
      </c>
      <c r="H65" s="9"/>
      <c r="I65" s="8">
        <f t="shared" ref="I65:O65" si="153">I27*$I$1</f>
        <v>0</v>
      </c>
      <c r="J65" s="8">
        <f t="shared" si="153"/>
        <v>0</v>
      </c>
      <c r="K65" s="8">
        <f t="shared" si="153"/>
        <v>0</v>
      </c>
      <c r="L65" s="8">
        <f t="shared" si="153"/>
        <v>0</v>
      </c>
      <c r="M65" s="8">
        <f t="shared" si="153"/>
        <v>0</v>
      </c>
      <c r="N65" s="8">
        <f t="shared" si="153"/>
        <v>206.12135663758474</v>
      </c>
      <c r="O65" s="8">
        <f t="shared" si="153"/>
        <v>0</v>
      </c>
      <c r="P65" s="9"/>
      <c r="Q65" s="8">
        <f t="shared" ref="Q65:W65" si="154">Q27*$Q$1</f>
        <v>0</v>
      </c>
      <c r="R65" s="8">
        <f t="shared" si="154"/>
        <v>0</v>
      </c>
      <c r="S65" s="8">
        <f t="shared" si="154"/>
        <v>0</v>
      </c>
      <c r="T65" s="8">
        <f t="shared" si="154"/>
        <v>0</v>
      </c>
      <c r="U65" s="8">
        <f t="shared" si="154"/>
        <v>0</v>
      </c>
      <c r="V65" s="8">
        <f t="shared" si="154"/>
        <v>0</v>
      </c>
      <c r="W65" s="8">
        <f t="shared" si="154"/>
        <v>0</v>
      </c>
      <c r="Y65" s="8">
        <f t="shared" ref="Y65:AB65" si="155">Y27*$Y$1</f>
        <v>0</v>
      </c>
      <c r="Z65" s="8">
        <f t="shared" si="155"/>
        <v>0</v>
      </c>
      <c r="AA65" s="8">
        <f t="shared" si="155"/>
        <v>0</v>
      </c>
      <c r="AB65" s="8">
        <f t="shared" si="155"/>
        <v>0</v>
      </c>
      <c r="AD65" s="8">
        <f t="shared" ref="AD65:AG65" si="156">AD27*$AD$1</f>
        <v>0</v>
      </c>
      <c r="AE65" s="8">
        <f t="shared" si="156"/>
        <v>670618.37561091583</v>
      </c>
      <c r="AF65" s="8">
        <f t="shared" si="156"/>
        <v>0</v>
      </c>
      <c r="AG65" s="8">
        <f t="shared" si="156"/>
        <v>0</v>
      </c>
      <c r="AI65" s="8">
        <f t="shared" ref="AI65:AL65" si="157">AI27*$AI$1</f>
        <v>0</v>
      </c>
      <c r="AJ65" s="8">
        <f t="shared" si="157"/>
        <v>0</v>
      </c>
      <c r="AK65" s="8">
        <f t="shared" si="157"/>
        <v>0</v>
      </c>
      <c r="AL65" s="8">
        <f t="shared" si="157"/>
        <v>0</v>
      </c>
      <c r="AN65" s="8">
        <f t="shared" si="109"/>
        <v>0</v>
      </c>
      <c r="AO65" s="8">
        <f t="shared" ref="AO65:AP65" si="158">AO27*$AN$1</f>
        <v>0</v>
      </c>
      <c r="AP65" s="8">
        <f t="shared" si="158"/>
        <v>0</v>
      </c>
    </row>
    <row r="66" spans="1:42" x14ac:dyDescent="0.25">
      <c r="A66" s="5" t="str">
        <f t="shared" si="13"/>
        <v>k__Bacteria;p__Proteobacteria;c__Gammaproteobacteria;o__Aeromonadales;f__Aeromonadaceae;g__Aeromonas;Other</v>
      </c>
      <c r="B66"/>
      <c r="C66" s="8">
        <f t="shared" ref="C66:G66" si="159">C28*$C$1</f>
        <v>747.94164493761843</v>
      </c>
      <c r="D66" s="8">
        <f t="shared" si="159"/>
        <v>0</v>
      </c>
      <c r="E66" s="8">
        <f t="shared" si="159"/>
        <v>0</v>
      </c>
      <c r="F66" s="8">
        <f t="shared" si="159"/>
        <v>732.23683349627686</v>
      </c>
      <c r="G66" s="8">
        <f t="shared" si="159"/>
        <v>0</v>
      </c>
      <c r="H66" s="9"/>
      <c r="I66" s="8">
        <f t="shared" ref="I66:O66" si="160">I28*$I$1</f>
        <v>0</v>
      </c>
      <c r="J66" s="8">
        <f t="shared" si="160"/>
        <v>0</v>
      </c>
      <c r="K66" s="8">
        <f t="shared" si="160"/>
        <v>0</v>
      </c>
      <c r="L66" s="8">
        <f t="shared" si="160"/>
        <v>0</v>
      </c>
      <c r="M66" s="8">
        <f t="shared" si="160"/>
        <v>0</v>
      </c>
      <c r="N66" s="8">
        <f t="shared" si="160"/>
        <v>0</v>
      </c>
      <c r="O66" s="8">
        <f t="shared" si="160"/>
        <v>0</v>
      </c>
      <c r="P66" s="9"/>
      <c r="Q66" s="8">
        <f t="shared" ref="Q66:W66" si="161">Q28*$Q$1</f>
        <v>0</v>
      </c>
      <c r="R66" s="8">
        <f t="shared" si="161"/>
        <v>0</v>
      </c>
      <c r="S66" s="8">
        <f t="shared" si="161"/>
        <v>0</v>
      </c>
      <c r="T66" s="8">
        <f t="shared" si="161"/>
        <v>0</v>
      </c>
      <c r="U66" s="8">
        <f t="shared" si="161"/>
        <v>0</v>
      </c>
      <c r="V66" s="8">
        <f t="shared" si="161"/>
        <v>0</v>
      </c>
      <c r="W66" s="8">
        <f t="shared" si="161"/>
        <v>0</v>
      </c>
      <c r="Y66" s="8">
        <f t="shared" ref="Y66:AB66" si="162">Y28*$Y$1</f>
        <v>0</v>
      </c>
      <c r="Z66" s="8">
        <f t="shared" si="162"/>
        <v>0</v>
      </c>
      <c r="AA66" s="8">
        <f t="shared" si="162"/>
        <v>0</v>
      </c>
      <c r="AB66" s="8">
        <f t="shared" si="162"/>
        <v>0</v>
      </c>
      <c r="AD66" s="8">
        <f t="shared" ref="AD66:AG66" si="163">AD28*$AD$1</f>
        <v>0</v>
      </c>
      <c r="AE66" s="8">
        <f t="shared" si="163"/>
        <v>0</v>
      </c>
      <c r="AF66" s="8">
        <f t="shared" si="163"/>
        <v>0</v>
      </c>
      <c r="AG66" s="8">
        <f t="shared" si="163"/>
        <v>0</v>
      </c>
      <c r="AI66" s="8">
        <f t="shared" ref="AI66:AL66" si="164">AI28*$AI$1</f>
        <v>0</v>
      </c>
      <c r="AJ66" s="8">
        <f t="shared" si="164"/>
        <v>0</v>
      </c>
      <c r="AK66" s="8">
        <f t="shared" si="164"/>
        <v>0</v>
      </c>
      <c r="AL66" s="8">
        <f t="shared" si="164"/>
        <v>0</v>
      </c>
      <c r="AN66" s="8">
        <f t="shared" si="109"/>
        <v>0</v>
      </c>
      <c r="AO66" s="8">
        <f t="shared" ref="AO66:AP66" si="165">AO28*$AN$1</f>
        <v>0</v>
      </c>
      <c r="AP66" s="8">
        <f t="shared" si="165"/>
        <v>0</v>
      </c>
    </row>
    <row r="67" spans="1:42" x14ac:dyDescent="0.25">
      <c r="A67" s="5" t="str">
        <f t="shared" si="13"/>
        <v>k__Bacteria;p__Proteobacteria;c__Gammaproteobacteria;o__Aeromonadales;f__Aeromonadaceae;g__Aeromonas;s__caviae</v>
      </c>
      <c r="B67"/>
      <c r="C67" s="8">
        <f t="shared" ref="C67:G67" si="166">C29*$C$1</f>
        <v>0</v>
      </c>
      <c r="D67" s="8">
        <f t="shared" si="166"/>
        <v>236.76081643723168</v>
      </c>
      <c r="E67" s="8">
        <f t="shared" si="166"/>
        <v>0</v>
      </c>
      <c r="F67" s="8">
        <f t="shared" si="166"/>
        <v>0</v>
      </c>
      <c r="G67" s="8">
        <f t="shared" si="166"/>
        <v>0</v>
      </c>
      <c r="H67" s="9"/>
      <c r="I67" s="8">
        <f t="shared" ref="I67:O67" si="167">I29*$I$1</f>
        <v>0</v>
      </c>
      <c r="J67" s="8">
        <f t="shared" si="167"/>
        <v>0</v>
      </c>
      <c r="K67" s="8">
        <f t="shared" si="167"/>
        <v>0</v>
      </c>
      <c r="L67" s="8">
        <f t="shared" si="167"/>
        <v>0</v>
      </c>
      <c r="M67" s="8">
        <f t="shared" si="167"/>
        <v>0</v>
      </c>
      <c r="N67" s="8">
        <f t="shared" si="167"/>
        <v>0</v>
      </c>
      <c r="O67" s="8">
        <f t="shared" si="167"/>
        <v>0</v>
      </c>
      <c r="P67" s="9"/>
      <c r="Q67" s="8">
        <f t="shared" ref="Q67:W67" si="168">Q29*$Q$1</f>
        <v>0</v>
      </c>
      <c r="R67" s="8">
        <f t="shared" si="168"/>
        <v>0</v>
      </c>
      <c r="S67" s="8">
        <f t="shared" si="168"/>
        <v>0</v>
      </c>
      <c r="T67" s="8">
        <f t="shared" si="168"/>
        <v>0</v>
      </c>
      <c r="U67" s="8">
        <f t="shared" si="168"/>
        <v>0</v>
      </c>
      <c r="V67" s="8">
        <f t="shared" si="168"/>
        <v>0</v>
      </c>
      <c r="W67" s="8">
        <f t="shared" si="168"/>
        <v>0</v>
      </c>
      <c r="Y67" s="8">
        <f t="shared" ref="Y67:AB67" si="169">Y29*$Y$1</f>
        <v>1299405.0568356467</v>
      </c>
      <c r="Z67" s="8">
        <f t="shared" si="169"/>
        <v>0</v>
      </c>
      <c r="AA67" s="8">
        <f t="shared" si="169"/>
        <v>0</v>
      </c>
      <c r="AB67" s="8">
        <f t="shared" si="169"/>
        <v>0</v>
      </c>
      <c r="AD67" s="8">
        <f t="shared" ref="AD67:AG67" si="170">AD29*$AD$1</f>
        <v>0</v>
      </c>
      <c r="AE67" s="8">
        <f t="shared" si="170"/>
        <v>0</v>
      </c>
      <c r="AF67" s="8">
        <f t="shared" si="170"/>
        <v>0</v>
      </c>
      <c r="AG67" s="8">
        <f t="shared" si="170"/>
        <v>0</v>
      </c>
      <c r="AI67" s="8">
        <f t="shared" ref="AI67:AL67" si="171">AI29*$AI$1</f>
        <v>0</v>
      </c>
      <c r="AJ67" s="8">
        <f t="shared" si="171"/>
        <v>0</v>
      </c>
      <c r="AK67" s="8">
        <f t="shared" si="171"/>
        <v>0</v>
      </c>
      <c r="AL67" s="8">
        <f t="shared" si="171"/>
        <v>0</v>
      </c>
      <c r="AN67" s="8">
        <f t="shared" si="109"/>
        <v>0</v>
      </c>
      <c r="AO67" s="8">
        <f t="shared" ref="AO67:AP67" si="172">AO29*$AN$1</f>
        <v>0</v>
      </c>
      <c r="AP67" s="8">
        <f t="shared" si="172"/>
        <v>0</v>
      </c>
    </row>
    <row r="68" spans="1:42" x14ac:dyDescent="0.25">
      <c r="B68"/>
      <c r="C68" s="8"/>
      <c r="D68" s="8"/>
      <c r="E68" s="8"/>
      <c r="F68" s="8"/>
      <c r="G68" s="8"/>
      <c r="H68" s="9"/>
      <c r="I68" s="8"/>
      <c r="J68" s="8"/>
      <c r="K68" s="8"/>
      <c r="L68" s="8"/>
      <c r="M68" s="8"/>
      <c r="N68" s="8"/>
      <c r="O68" s="8"/>
      <c r="P68" s="9"/>
      <c r="Q68" s="8"/>
      <c r="R68" s="8"/>
      <c r="S68" s="8"/>
      <c r="T68" s="8"/>
      <c r="U68" s="8"/>
      <c r="V68" s="8"/>
      <c r="W68" s="8"/>
      <c r="Y68" s="8">
        <f t="shared" ref="Y68:AB68" si="173">Y30*$Y$1</f>
        <v>0</v>
      </c>
      <c r="Z68" s="8">
        <f t="shared" si="173"/>
        <v>0</v>
      </c>
      <c r="AA68" s="8">
        <f t="shared" si="173"/>
        <v>0</v>
      </c>
      <c r="AB68" s="8">
        <f t="shared" si="173"/>
        <v>0</v>
      </c>
      <c r="AD68" s="8">
        <f t="shared" ref="AD68:AG68" si="174">AD30*$AD$1</f>
        <v>0</v>
      </c>
      <c r="AE68" s="8">
        <f t="shared" si="174"/>
        <v>0</v>
      </c>
      <c r="AF68" s="8">
        <f t="shared" si="174"/>
        <v>0</v>
      </c>
      <c r="AG68" s="8">
        <f t="shared" si="174"/>
        <v>0</v>
      </c>
      <c r="AI68" s="8">
        <f t="shared" ref="AI68:AL68" si="175">AI30*$AI$1</f>
        <v>0</v>
      </c>
      <c r="AJ68" s="8">
        <f t="shared" si="175"/>
        <v>0</v>
      </c>
      <c r="AK68" s="8">
        <f t="shared" si="175"/>
        <v>0</v>
      </c>
      <c r="AL68" s="8">
        <f t="shared" si="175"/>
        <v>0</v>
      </c>
      <c r="AN68" s="8">
        <f t="shared" si="109"/>
        <v>0</v>
      </c>
      <c r="AO68" s="8">
        <f t="shared" ref="AO68:AP68" si="176">AO30*$AN$1</f>
        <v>0</v>
      </c>
      <c r="AP68" s="8">
        <f t="shared" si="176"/>
        <v>0</v>
      </c>
    </row>
    <row r="69" spans="1:42" x14ac:dyDescent="0.25">
      <c r="A69" s="5" t="str">
        <f>A31</f>
        <v>k__Bacteria;p__Proteobacteria;c__Gammaproteobacteria;o__Enterobacteriales;f__Enterobacteriaceae;Other;Other</v>
      </c>
      <c r="B69"/>
      <c r="C69" s="8">
        <f t="shared" ref="C69:G69" si="177">C31*$C$1</f>
        <v>1869.8541123440464</v>
      </c>
      <c r="D69" s="8">
        <f t="shared" si="177"/>
        <v>1183.8040821885297</v>
      </c>
      <c r="E69" s="8">
        <f t="shared" si="177"/>
        <v>1292.4009642648373</v>
      </c>
      <c r="F69" s="8">
        <f t="shared" si="177"/>
        <v>366.11841674754561</v>
      </c>
      <c r="G69" s="8">
        <f t="shared" si="177"/>
        <v>1275.4948392143447</v>
      </c>
      <c r="H69" s="9"/>
      <c r="I69" s="8">
        <f t="shared" ref="I69:O69" si="178">I31*$I$1</f>
        <v>0</v>
      </c>
      <c r="J69" s="8">
        <f t="shared" si="178"/>
        <v>0</v>
      </c>
      <c r="K69" s="8">
        <f t="shared" si="178"/>
        <v>149.20640249563698</v>
      </c>
      <c r="L69" s="8">
        <f t="shared" si="178"/>
        <v>0</v>
      </c>
      <c r="M69" s="8">
        <f t="shared" si="178"/>
        <v>0</v>
      </c>
      <c r="N69" s="8">
        <f t="shared" si="178"/>
        <v>0</v>
      </c>
      <c r="O69" s="8">
        <f t="shared" si="178"/>
        <v>0</v>
      </c>
      <c r="P69" s="9"/>
      <c r="Q69" s="8">
        <f t="shared" ref="Q69:W69" si="179">Q31*$Q$1</f>
        <v>0</v>
      </c>
      <c r="R69" s="8">
        <f t="shared" si="179"/>
        <v>0</v>
      </c>
      <c r="S69" s="8">
        <f t="shared" si="179"/>
        <v>0</v>
      </c>
      <c r="T69" s="8">
        <f t="shared" si="179"/>
        <v>0</v>
      </c>
      <c r="U69" s="8">
        <f t="shared" si="179"/>
        <v>0</v>
      </c>
      <c r="V69" s="8">
        <f t="shared" si="179"/>
        <v>0</v>
      </c>
      <c r="W69" s="8">
        <f t="shared" si="179"/>
        <v>0</v>
      </c>
      <c r="Y69" s="8">
        <f t="shared" ref="Y69:AB69" si="180">Y31*$Y$1</f>
        <v>0</v>
      </c>
      <c r="Z69" s="8">
        <f t="shared" si="180"/>
        <v>0</v>
      </c>
      <c r="AA69" s="8">
        <f t="shared" si="180"/>
        <v>0</v>
      </c>
      <c r="AB69" s="8">
        <f t="shared" si="180"/>
        <v>0</v>
      </c>
      <c r="AD69" s="8">
        <f t="shared" ref="AD69:AG69" si="181">AD31*$AD$1</f>
        <v>0</v>
      </c>
      <c r="AE69" s="8">
        <f t="shared" si="181"/>
        <v>0</v>
      </c>
      <c r="AF69" s="8">
        <f t="shared" si="181"/>
        <v>0</v>
      </c>
      <c r="AG69" s="8">
        <f t="shared" si="181"/>
        <v>0</v>
      </c>
      <c r="AI69" s="8">
        <f t="shared" ref="AI69:AL69" si="182">AI31*$AI$1</f>
        <v>0</v>
      </c>
      <c r="AJ69" s="8">
        <f t="shared" si="182"/>
        <v>0</v>
      </c>
      <c r="AK69" s="8">
        <f t="shared" si="182"/>
        <v>0</v>
      </c>
      <c r="AL69" s="8">
        <f t="shared" si="182"/>
        <v>0</v>
      </c>
      <c r="AN69" s="8">
        <f t="shared" si="109"/>
        <v>0</v>
      </c>
      <c r="AO69" s="8">
        <f t="shared" ref="AO69:AP69" si="183">AO31*$AN$1</f>
        <v>0</v>
      </c>
      <c r="AP69" s="8">
        <f t="shared" si="183"/>
        <v>0</v>
      </c>
    </row>
    <row r="70" spans="1:42" x14ac:dyDescent="0.25">
      <c r="A70" s="5" t="str">
        <f t="shared" si="13"/>
        <v>k__Bacteria;p__Proteobacteria;c__Gammaproteobacteria;o__Enterobacteriales;f__Enterobacteriaceae;g__Escherichia;s__coli</v>
      </c>
      <c r="B70"/>
      <c r="C70" s="8">
        <f t="shared" ref="C70:G70" si="184">C32*$C$1</f>
        <v>0</v>
      </c>
      <c r="D70" s="8">
        <f t="shared" si="184"/>
        <v>0</v>
      </c>
      <c r="E70" s="8">
        <f t="shared" si="184"/>
        <v>0</v>
      </c>
      <c r="F70" s="8">
        <f t="shared" si="184"/>
        <v>0</v>
      </c>
      <c r="G70" s="8">
        <f t="shared" si="184"/>
        <v>510.19793568692353</v>
      </c>
      <c r="H70" s="9"/>
      <c r="I70" s="8">
        <f t="shared" ref="I70:O70" si="185">I32*$I$1</f>
        <v>40.550868971140297</v>
      </c>
      <c r="J70" s="8">
        <f t="shared" si="185"/>
        <v>0</v>
      </c>
      <c r="K70" s="8">
        <f t="shared" si="185"/>
        <v>1641.2704274546584</v>
      </c>
      <c r="L70" s="8">
        <f t="shared" si="185"/>
        <v>163.0105147796254</v>
      </c>
      <c r="M70" s="8">
        <f t="shared" si="185"/>
        <v>70.831333027096264</v>
      </c>
      <c r="N70" s="8">
        <f t="shared" si="185"/>
        <v>0</v>
      </c>
      <c r="O70" s="8">
        <f t="shared" si="185"/>
        <v>0</v>
      </c>
      <c r="P70" s="9"/>
      <c r="Q70" s="8">
        <f t="shared" ref="Q70:W70" si="186">Q32*$Q$1</f>
        <v>138.19247981617806</v>
      </c>
      <c r="R70" s="8">
        <f t="shared" si="186"/>
        <v>0</v>
      </c>
      <c r="S70" s="8">
        <f t="shared" si="186"/>
        <v>87.356194003482884</v>
      </c>
      <c r="T70" s="8">
        <f t="shared" si="186"/>
        <v>0</v>
      </c>
      <c r="U70" s="8">
        <f t="shared" si="186"/>
        <v>0</v>
      </c>
      <c r="V70" s="8">
        <f t="shared" si="186"/>
        <v>0</v>
      </c>
      <c r="W70" s="8">
        <f t="shared" si="186"/>
        <v>93.632936698754165</v>
      </c>
      <c r="Y70" s="8">
        <f t="shared" ref="Y70:AB70" si="187">Y32*$Y$1</f>
        <v>0</v>
      </c>
      <c r="Z70" s="8">
        <f t="shared" si="187"/>
        <v>0</v>
      </c>
      <c r="AA70" s="8">
        <f t="shared" si="187"/>
        <v>0</v>
      </c>
      <c r="AB70" s="8">
        <f t="shared" si="187"/>
        <v>0</v>
      </c>
      <c r="AD70" s="8">
        <f t="shared" ref="AD70:AG70" si="188">AD32*$AD$1</f>
        <v>0</v>
      </c>
      <c r="AE70" s="8">
        <f t="shared" si="188"/>
        <v>0</v>
      </c>
      <c r="AF70" s="8">
        <f t="shared" si="188"/>
        <v>0</v>
      </c>
      <c r="AG70" s="8">
        <f t="shared" si="188"/>
        <v>0</v>
      </c>
      <c r="AI70" s="8">
        <f t="shared" ref="AI70:AL70" si="189">AI32*$AI$1</f>
        <v>0</v>
      </c>
      <c r="AJ70" s="8">
        <f t="shared" si="189"/>
        <v>0</v>
      </c>
      <c r="AK70" s="8">
        <f t="shared" si="189"/>
        <v>0</v>
      </c>
      <c r="AL70" s="8">
        <f t="shared" si="189"/>
        <v>0</v>
      </c>
      <c r="AN70" s="8">
        <f t="shared" si="109"/>
        <v>0</v>
      </c>
      <c r="AO70" s="8">
        <f t="shared" ref="AO70:AP70" si="190">AO32*$AN$1</f>
        <v>0</v>
      </c>
      <c r="AP70" s="8">
        <f t="shared" si="190"/>
        <v>0</v>
      </c>
    </row>
    <row r="71" spans="1:42" x14ac:dyDescent="0.25">
      <c r="B71"/>
      <c r="C71" s="8">
        <f t="shared" ref="C71:G71" si="191">C33*$C$1</f>
        <v>0</v>
      </c>
      <c r="D71" s="8">
        <f t="shared" si="191"/>
        <v>0</v>
      </c>
      <c r="E71" s="8">
        <f t="shared" si="191"/>
        <v>0</v>
      </c>
      <c r="F71" s="8">
        <f t="shared" si="191"/>
        <v>0</v>
      </c>
      <c r="G71" s="8">
        <f t="shared" si="191"/>
        <v>0</v>
      </c>
      <c r="H71" s="9"/>
      <c r="I71" s="8">
        <f t="shared" ref="I71:O71" si="192">I33*$I$1</f>
        <v>0</v>
      </c>
      <c r="J71" s="8">
        <f t="shared" si="192"/>
        <v>0</v>
      </c>
      <c r="K71" s="8">
        <f t="shared" si="192"/>
        <v>0</v>
      </c>
      <c r="L71" s="8">
        <f t="shared" si="192"/>
        <v>0</v>
      </c>
      <c r="M71" s="8">
        <f t="shared" si="192"/>
        <v>0</v>
      </c>
      <c r="N71" s="8">
        <f t="shared" si="192"/>
        <v>0</v>
      </c>
      <c r="O71" s="8">
        <f t="shared" si="192"/>
        <v>0</v>
      </c>
      <c r="P71" s="9"/>
      <c r="Q71" s="8">
        <f t="shared" ref="Q71:W71" si="193">Q33*$Q$1</f>
        <v>0</v>
      </c>
      <c r="R71" s="8">
        <f t="shared" si="193"/>
        <v>0</v>
      </c>
      <c r="S71" s="8">
        <f t="shared" si="193"/>
        <v>0</v>
      </c>
      <c r="T71" s="8">
        <f t="shared" si="193"/>
        <v>0</v>
      </c>
      <c r="U71" s="8">
        <f t="shared" si="193"/>
        <v>0</v>
      </c>
      <c r="V71" s="8">
        <f t="shared" si="193"/>
        <v>0</v>
      </c>
      <c r="W71" s="8">
        <f t="shared" si="193"/>
        <v>0</v>
      </c>
      <c r="Y71" s="8">
        <f t="shared" ref="Y71:AB71" si="194">Y33*$Y$1</f>
        <v>0</v>
      </c>
      <c r="Z71" s="8">
        <f t="shared" si="194"/>
        <v>0</v>
      </c>
      <c r="AA71" s="8">
        <f t="shared" si="194"/>
        <v>0</v>
      </c>
      <c r="AB71" s="8">
        <f t="shared" si="194"/>
        <v>0</v>
      </c>
      <c r="AD71" s="8">
        <f t="shared" ref="AD71:AG71" si="195">AD33*$AD$1</f>
        <v>0</v>
      </c>
      <c r="AE71" s="8">
        <f t="shared" si="195"/>
        <v>0</v>
      </c>
      <c r="AF71" s="8">
        <f t="shared" si="195"/>
        <v>0</v>
      </c>
      <c r="AG71" s="8">
        <f t="shared" si="195"/>
        <v>0</v>
      </c>
      <c r="AI71" s="8">
        <f t="shared" ref="AI71:AL71" si="196">AI33*$AI$1</f>
        <v>0</v>
      </c>
      <c r="AJ71" s="8">
        <f t="shared" si="196"/>
        <v>0</v>
      </c>
      <c r="AK71" s="8">
        <f t="shared" si="196"/>
        <v>0</v>
      </c>
      <c r="AL71" s="8">
        <f t="shared" si="196"/>
        <v>0</v>
      </c>
      <c r="AN71" s="8">
        <f t="shared" ref="AN71:AP71" si="197">AN33*$AN$1</f>
        <v>0</v>
      </c>
      <c r="AO71" s="8">
        <f t="shared" si="197"/>
        <v>0</v>
      </c>
      <c r="AP71" s="8">
        <f t="shared" si="197"/>
        <v>0</v>
      </c>
    </row>
    <row r="72" spans="1:42" x14ac:dyDescent="0.25">
      <c r="A72" s="5" t="str">
        <f t="shared" si="13"/>
        <v>k__Bacteria;p__Bacteroidetes;c__Flavobacteriia;o__Flavobacteriales;f__Flavobacteriaceae;g__Flavobacterium;Other</v>
      </c>
      <c r="B72"/>
      <c r="C72" s="8">
        <f t="shared" ref="C72:G72" si="198">C34*$C$1</f>
        <v>296558.86221781553</v>
      </c>
      <c r="D72" s="8">
        <f t="shared" si="198"/>
        <v>307315.53973598202</v>
      </c>
      <c r="E72" s="8">
        <f t="shared" si="198"/>
        <v>396767.09603034845</v>
      </c>
      <c r="F72" s="8">
        <f t="shared" si="198"/>
        <v>311566.77265210793</v>
      </c>
      <c r="G72" s="8">
        <f t="shared" si="198"/>
        <v>387750.4311217299</v>
      </c>
      <c r="H72" s="9"/>
      <c r="I72" s="8">
        <f t="shared" ref="I72:O72" si="199">I34*$I$1</f>
        <v>2189.7469244332419</v>
      </c>
      <c r="J72" s="8">
        <f t="shared" si="199"/>
        <v>1611.47069174784</v>
      </c>
      <c r="K72" s="8">
        <f t="shared" si="199"/>
        <v>2461.9056411800934</v>
      </c>
      <c r="L72" s="8">
        <f t="shared" si="199"/>
        <v>3178.7050382019379</v>
      </c>
      <c r="M72" s="8">
        <f t="shared" si="199"/>
        <v>2054.1086577910955</v>
      </c>
      <c r="N72" s="8">
        <f t="shared" si="199"/>
        <v>5256.0945942765939</v>
      </c>
      <c r="O72" s="8">
        <f t="shared" si="199"/>
        <v>4597.2302997164243</v>
      </c>
      <c r="P72" s="9"/>
      <c r="Q72" s="8">
        <f t="shared" ref="Q72:W72" si="200">Q34*$Q$1</f>
        <v>5251.3142330246155</v>
      </c>
      <c r="R72" s="8">
        <f t="shared" si="200"/>
        <v>5307.6200385964676</v>
      </c>
      <c r="S72" s="8">
        <f t="shared" si="200"/>
        <v>8124.1260423367867</v>
      </c>
      <c r="T72" s="8">
        <f t="shared" si="200"/>
        <v>4511.5302487644694</v>
      </c>
      <c r="U72" s="8">
        <f t="shared" si="200"/>
        <v>5877.2517194753909</v>
      </c>
      <c r="V72" s="8">
        <f t="shared" si="200"/>
        <v>45830.582653929145</v>
      </c>
      <c r="W72" s="8">
        <f t="shared" si="200"/>
        <v>32771.527844601842</v>
      </c>
      <c r="Y72" s="8">
        <f t="shared" ref="Y72:AB72" si="201">Y34*$Y$1</f>
        <v>11694645.511497006</v>
      </c>
      <c r="Z72" s="8">
        <f t="shared" si="201"/>
        <v>17058879.997570097</v>
      </c>
      <c r="AA72" s="8">
        <f t="shared" si="201"/>
        <v>0</v>
      </c>
      <c r="AB72" s="8">
        <f t="shared" si="201"/>
        <v>1914170.6033797387</v>
      </c>
      <c r="AD72" s="8">
        <f t="shared" ref="AD72:AG72" si="202">AD34*$AD$1</f>
        <v>2087172.0383087008</v>
      </c>
      <c r="AE72" s="8">
        <f t="shared" si="202"/>
        <v>1341236.7512218317</v>
      </c>
      <c r="AF72" s="8">
        <f t="shared" si="202"/>
        <v>1015764.2199814266</v>
      </c>
      <c r="AG72" s="8">
        <f t="shared" si="202"/>
        <v>1871093.9319513752</v>
      </c>
      <c r="AI72" s="8">
        <f t="shared" ref="AI72:AL72" si="203">AI34*$AI$1</f>
        <v>4850138.267393847</v>
      </c>
      <c r="AJ72" s="8">
        <f t="shared" si="203"/>
        <v>2696856.2000990394</v>
      </c>
      <c r="AK72" s="8">
        <f t="shared" si="203"/>
        <v>7688594.15158509</v>
      </c>
      <c r="AL72" s="8">
        <f t="shared" si="203"/>
        <v>6510820.1985651311</v>
      </c>
      <c r="AN72" s="8">
        <f t="shared" ref="AN72:AP72" si="204">AN34*$AN$1</f>
        <v>826264.48291411868</v>
      </c>
      <c r="AO72" s="8">
        <f t="shared" si="204"/>
        <v>917439.22174794879</v>
      </c>
      <c r="AP72" s="8">
        <f t="shared" si="204"/>
        <v>2188620.2249825383</v>
      </c>
    </row>
    <row r="73" spans="1:42" x14ac:dyDescent="0.25">
      <c r="A73" s="5" t="str">
        <f t="shared" si="13"/>
        <v>k__Bacteria;p__Bacteroidetes;c__Flavobacteriia;o__Flavobacteriales;f__Flavobacteriaceae;g__Flavobacterium;s__</v>
      </c>
      <c r="B73"/>
      <c r="C73" s="8">
        <f t="shared" ref="C73:G73" si="205">C35*$C$1</f>
        <v>533282.39284057415</v>
      </c>
      <c r="D73" s="8">
        <f t="shared" si="205"/>
        <v>496250.67125334818</v>
      </c>
      <c r="E73" s="8">
        <f t="shared" si="205"/>
        <v>502227.01471452991</v>
      </c>
      <c r="F73" s="8">
        <f t="shared" si="205"/>
        <v>558696.7039577387</v>
      </c>
      <c r="G73" s="8">
        <f t="shared" si="205"/>
        <v>556881.0468012105</v>
      </c>
      <c r="H73" s="9"/>
      <c r="I73" s="8">
        <f t="shared" ref="I73:O73" si="206">I35*$I$1</f>
        <v>1419.2804139823338</v>
      </c>
      <c r="J73" s="8">
        <f t="shared" si="206"/>
        <v>1831.2166951693775</v>
      </c>
      <c r="K73" s="8">
        <f t="shared" si="206"/>
        <v>1193.6512199673689</v>
      </c>
      <c r="L73" s="8">
        <f t="shared" si="206"/>
        <v>2200.6419495264586</v>
      </c>
      <c r="M73" s="8">
        <f t="shared" si="206"/>
        <v>1629.1206596262448</v>
      </c>
      <c r="N73" s="8">
        <f t="shared" si="206"/>
        <v>2061.2135663758472</v>
      </c>
      <c r="O73" s="8">
        <f t="shared" si="206"/>
        <v>4179.3002724729204</v>
      </c>
      <c r="P73" s="9"/>
      <c r="Q73" s="8">
        <f t="shared" ref="Q73:W73" si="207">Q35*$Q$1</f>
        <v>3316.6195155913038</v>
      </c>
      <c r="R73" s="8">
        <f t="shared" si="207"/>
        <v>2698.7898501307795</v>
      </c>
      <c r="S73" s="8">
        <f t="shared" si="207"/>
        <v>2882.7544021164504</v>
      </c>
      <c r="T73" s="8">
        <f t="shared" si="207"/>
        <v>2790.0252854241198</v>
      </c>
      <c r="U73" s="8">
        <f t="shared" si="207"/>
        <v>3751.4372677400938</v>
      </c>
      <c r="V73" s="8">
        <f t="shared" si="207"/>
        <v>44450.143417198429</v>
      </c>
      <c r="W73" s="8">
        <f t="shared" si="207"/>
        <v>44662.91080553909</v>
      </c>
      <c r="Y73" s="8">
        <f t="shared" ref="Y73:AB73" si="208">Y35*$Y$1</f>
        <v>7796430.3410059419</v>
      </c>
      <c r="Z73" s="8">
        <f t="shared" si="208"/>
        <v>11372586.665073192</v>
      </c>
      <c r="AA73" s="8">
        <f t="shared" si="208"/>
        <v>0</v>
      </c>
      <c r="AB73" s="8">
        <f t="shared" si="208"/>
        <v>3828341.2067515394</v>
      </c>
      <c r="AD73" s="8">
        <f t="shared" ref="AD73:AG73" si="209">AD35*$AD$1</f>
        <v>834868.81532348017</v>
      </c>
      <c r="AE73" s="8">
        <f t="shared" si="209"/>
        <v>1341236.7512218317</v>
      </c>
      <c r="AF73" s="8">
        <f t="shared" si="209"/>
        <v>507882.10998972657</v>
      </c>
      <c r="AG73" s="8">
        <f t="shared" si="209"/>
        <v>2245312.7183448081</v>
      </c>
      <c r="AI73" s="8">
        <f t="shared" ref="AI73:AL73" si="210">AI35*$AI$1</f>
        <v>3637603.7005500528</v>
      </c>
      <c r="AJ73" s="8">
        <f t="shared" si="210"/>
        <v>6742140.5002592681</v>
      </c>
      <c r="AK73" s="8">
        <f t="shared" si="210"/>
        <v>15377188.30317018</v>
      </c>
      <c r="AL73" s="8">
        <f t="shared" si="210"/>
        <v>23873007.394738812</v>
      </c>
      <c r="AN73" s="8">
        <f t="shared" ref="AN73:AP73" si="211">AN35*$AN$1</f>
        <v>550842.98860901291</v>
      </c>
      <c r="AO73" s="8">
        <f t="shared" si="211"/>
        <v>3669756.8869893984</v>
      </c>
      <c r="AP73" s="8">
        <f t="shared" si="211"/>
        <v>4620420.4749551453</v>
      </c>
    </row>
    <row r="74" spans="1:42" x14ac:dyDescent="0.25">
      <c r="A74" s="5" t="str">
        <f t="shared" si="13"/>
        <v>k__Bacteria;p__Bacteroidetes;c__Flavobacteriia;o__Flavobacteriales;f__Flavobacteriaceae;g__Flavobacterium;s__columnare</v>
      </c>
      <c r="B74"/>
      <c r="C74" s="8">
        <f t="shared" ref="C74:G74" si="212">C36*$C$1</f>
        <v>7853.3872718497378</v>
      </c>
      <c r="D74" s="8">
        <f t="shared" si="212"/>
        <v>6629.3028602590875</v>
      </c>
      <c r="E74" s="8">
        <f t="shared" si="212"/>
        <v>8271.36617131393</v>
      </c>
      <c r="F74" s="8">
        <f t="shared" si="212"/>
        <v>5857.8946679725859</v>
      </c>
      <c r="G74" s="8">
        <f t="shared" si="212"/>
        <v>3571.3855498072794</v>
      </c>
      <c r="H74" s="9"/>
      <c r="I74" s="8">
        <f t="shared" ref="I74:O74" si="213">I36*$I$1</f>
        <v>0</v>
      </c>
      <c r="J74" s="8">
        <f t="shared" si="213"/>
        <v>0</v>
      </c>
      <c r="K74" s="8">
        <f t="shared" si="213"/>
        <v>0</v>
      </c>
      <c r="L74" s="8">
        <f t="shared" si="213"/>
        <v>0</v>
      </c>
      <c r="M74" s="8">
        <f t="shared" si="213"/>
        <v>0</v>
      </c>
      <c r="N74" s="8">
        <f t="shared" si="213"/>
        <v>0</v>
      </c>
      <c r="O74" s="8">
        <f t="shared" si="213"/>
        <v>0</v>
      </c>
      <c r="P74" s="9"/>
      <c r="Q74" s="8">
        <f t="shared" ref="Q74:W74" si="214">Q36*$Q$1</f>
        <v>69.096239908278434</v>
      </c>
      <c r="R74" s="8">
        <f t="shared" si="214"/>
        <v>89.959661671152261</v>
      </c>
      <c r="S74" s="8">
        <f t="shared" si="214"/>
        <v>0</v>
      </c>
      <c r="T74" s="8">
        <f t="shared" si="214"/>
        <v>118.72448023098288</v>
      </c>
      <c r="U74" s="8">
        <f t="shared" si="214"/>
        <v>125.0479089246698</v>
      </c>
      <c r="V74" s="8">
        <f t="shared" si="214"/>
        <v>966.30746559028182</v>
      </c>
      <c r="W74" s="8">
        <f t="shared" si="214"/>
        <v>842.69643028954522</v>
      </c>
      <c r="Y74" s="8">
        <f t="shared" ref="Y74:AB74" si="215">Y36*$Y$1</f>
        <v>0</v>
      </c>
      <c r="Z74" s="8">
        <f t="shared" si="215"/>
        <v>0</v>
      </c>
      <c r="AA74" s="8">
        <f t="shared" si="215"/>
        <v>0</v>
      </c>
      <c r="AB74" s="8">
        <f t="shared" si="215"/>
        <v>0</v>
      </c>
      <c r="AD74" s="8">
        <f t="shared" ref="AD74:AG74" si="216">AD36*$AD$1</f>
        <v>0</v>
      </c>
      <c r="AE74" s="8">
        <f t="shared" si="216"/>
        <v>0</v>
      </c>
      <c r="AF74" s="8">
        <f t="shared" si="216"/>
        <v>0</v>
      </c>
      <c r="AG74" s="8">
        <f t="shared" si="216"/>
        <v>0</v>
      </c>
      <c r="AI74" s="8">
        <f t="shared" ref="AI74:AL74" si="217">AI36*$AI$1</f>
        <v>0</v>
      </c>
      <c r="AJ74" s="8">
        <f t="shared" si="217"/>
        <v>0</v>
      </c>
      <c r="AK74" s="8">
        <f t="shared" si="217"/>
        <v>0</v>
      </c>
      <c r="AL74" s="8">
        <f t="shared" si="217"/>
        <v>0</v>
      </c>
      <c r="AN74" s="8">
        <f t="shared" ref="AN74:AP74" si="218">AN36*$AN$1</f>
        <v>0</v>
      </c>
      <c r="AO74" s="8">
        <f t="shared" si="218"/>
        <v>0</v>
      </c>
      <c r="AP74" s="8">
        <f t="shared" si="218"/>
        <v>0</v>
      </c>
    </row>
    <row r="75" spans="1:42" x14ac:dyDescent="0.25">
      <c r="A75" s="5" t="str">
        <f t="shared" si="13"/>
        <v>k__Bacteria;p__Bacteroidetes;c__Flavobacteriia;o__Flavobacteriales;f__Flavobacteriaceae;g__Flavobacterium;s__frigidarium</v>
      </c>
      <c r="B75"/>
      <c r="C75" s="8">
        <f t="shared" ref="C75:G75" si="219">C37*$C$1</f>
        <v>3365.7374022263971</v>
      </c>
      <c r="D75" s="8">
        <f t="shared" si="219"/>
        <v>2604.3689808190343</v>
      </c>
      <c r="E75" s="8">
        <f t="shared" si="219"/>
        <v>3618.7226999439154</v>
      </c>
      <c r="F75" s="8">
        <f t="shared" si="219"/>
        <v>2196.7105004852733</v>
      </c>
      <c r="G75" s="8">
        <f t="shared" si="219"/>
        <v>3826.484517643034</v>
      </c>
      <c r="H75" s="9"/>
      <c r="I75" s="8">
        <f t="shared" ref="I75:O75" si="220">I37*$I$1</f>
        <v>40.550868971140297</v>
      </c>
      <c r="J75" s="8">
        <f t="shared" si="220"/>
        <v>0</v>
      </c>
      <c r="K75" s="8">
        <f t="shared" si="220"/>
        <v>0</v>
      </c>
      <c r="L75" s="8">
        <f t="shared" si="220"/>
        <v>81.505257389812698</v>
      </c>
      <c r="M75" s="8">
        <f t="shared" si="220"/>
        <v>0</v>
      </c>
      <c r="N75" s="8">
        <f t="shared" si="220"/>
        <v>0</v>
      </c>
      <c r="O75" s="8">
        <f t="shared" si="220"/>
        <v>0</v>
      </c>
      <c r="P75" s="9"/>
      <c r="Q75" s="8">
        <f t="shared" ref="Q75:W75" si="221">Q37*$Q$1</f>
        <v>69.096239908278434</v>
      </c>
      <c r="R75" s="8">
        <f t="shared" si="221"/>
        <v>89.959661671152261</v>
      </c>
      <c r="S75" s="8">
        <f t="shared" si="221"/>
        <v>174.71238800696577</v>
      </c>
      <c r="T75" s="8">
        <f t="shared" si="221"/>
        <v>59.362240115302022</v>
      </c>
      <c r="U75" s="8">
        <f t="shared" si="221"/>
        <v>0</v>
      </c>
      <c r="V75" s="8">
        <f t="shared" si="221"/>
        <v>552.17569462410063</v>
      </c>
      <c r="W75" s="8">
        <f t="shared" si="221"/>
        <v>374.53174679577432</v>
      </c>
      <c r="Y75" s="8">
        <f t="shared" ref="Y75:AB75" si="222">Y37*$Y$1</f>
        <v>0</v>
      </c>
      <c r="Z75" s="8">
        <f t="shared" si="222"/>
        <v>0</v>
      </c>
      <c r="AA75" s="8">
        <f t="shared" si="222"/>
        <v>0</v>
      </c>
      <c r="AB75" s="8">
        <f t="shared" si="222"/>
        <v>0</v>
      </c>
      <c r="AD75" s="8">
        <f t="shared" ref="AD75:AG75" si="223">AD37*$AD$1</f>
        <v>0</v>
      </c>
      <c r="AE75" s="8">
        <f t="shared" si="223"/>
        <v>0</v>
      </c>
      <c r="AF75" s="8">
        <f t="shared" si="223"/>
        <v>0</v>
      </c>
      <c r="AG75" s="8">
        <f t="shared" si="223"/>
        <v>0</v>
      </c>
      <c r="AI75" s="8">
        <f t="shared" ref="AI75:AL75" si="224">AI37*$AI$1</f>
        <v>0</v>
      </c>
      <c r="AJ75" s="8">
        <f t="shared" si="224"/>
        <v>0</v>
      </c>
      <c r="AK75" s="8">
        <f t="shared" si="224"/>
        <v>0</v>
      </c>
      <c r="AL75" s="8">
        <f t="shared" si="224"/>
        <v>0</v>
      </c>
      <c r="AN75" s="8">
        <f t="shared" ref="AN75:AP75" si="225">AN37*$AN$1</f>
        <v>0</v>
      </c>
      <c r="AO75" s="8">
        <f t="shared" si="225"/>
        <v>0</v>
      </c>
      <c r="AP75" s="8">
        <f t="shared" si="225"/>
        <v>0</v>
      </c>
    </row>
    <row r="76" spans="1:42" x14ac:dyDescent="0.25">
      <c r="A76" s="5" t="str">
        <f t="shared" si="13"/>
        <v>k__Bacteria;p__Bacteroidetes;c__Flavobacteriia;o__Flavobacteriales;f__Flavobacteriaceae;g__Flavobacterium;s__gelidilacus</v>
      </c>
      <c r="B76"/>
      <c r="C76" s="8">
        <f t="shared" ref="C76:G76" si="226">C38*$C$1</f>
        <v>2991.7665797528457</v>
      </c>
      <c r="D76" s="8">
        <f t="shared" si="226"/>
        <v>5208.7379616262115</v>
      </c>
      <c r="E76" s="8">
        <f t="shared" si="226"/>
        <v>2843.2821213921275</v>
      </c>
      <c r="F76" s="8">
        <f t="shared" si="226"/>
        <v>2562.8289172387476</v>
      </c>
      <c r="G76" s="8">
        <f t="shared" si="226"/>
        <v>2806.088646276301</v>
      </c>
      <c r="H76" s="9"/>
      <c r="I76" s="8">
        <f t="shared" ref="I76:O76" si="227">I38*$I$1</f>
        <v>20.275434485494383</v>
      </c>
      <c r="J76" s="8">
        <f t="shared" si="227"/>
        <v>0</v>
      </c>
      <c r="K76" s="8">
        <f t="shared" si="227"/>
        <v>74.603201248007906</v>
      </c>
      <c r="L76" s="8">
        <f t="shared" si="227"/>
        <v>81.505257389812698</v>
      </c>
      <c r="M76" s="8">
        <f t="shared" si="227"/>
        <v>0</v>
      </c>
      <c r="N76" s="8">
        <f t="shared" si="227"/>
        <v>206.12135663758474</v>
      </c>
      <c r="O76" s="8">
        <f t="shared" si="227"/>
        <v>0</v>
      </c>
      <c r="P76" s="9"/>
      <c r="Q76" s="8">
        <f t="shared" ref="Q76:W76" si="228">Q38*$Q$1</f>
        <v>138.19247981617806</v>
      </c>
      <c r="R76" s="8">
        <f t="shared" si="228"/>
        <v>179.91932334192569</v>
      </c>
      <c r="S76" s="8">
        <f t="shared" si="228"/>
        <v>174.71238800696577</v>
      </c>
      <c r="T76" s="8">
        <f t="shared" si="228"/>
        <v>356.17344069256978</v>
      </c>
      <c r="U76" s="8">
        <f t="shared" si="228"/>
        <v>125.0479089246698</v>
      </c>
      <c r="V76" s="8">
        <f t="shared" si="228"/>
        <v>138.04392365602516</v>
      </c>
      <c r="W76" s="8">
        <f t="shared" si="228"/>
        <v>280.89881009664134</v>
      </c>
      <c r="Y76" s="8">
        <f t="shared" ref="Y76:AB76" si="229">Y38*$Y$1</f>
        <v>0</v>
      </c>
      <c r="Z76" s="8">
        <f t="shared" si="229"/>
        <v>0</v>
      </c>
      <c r="AA76" s="8">
        <f t="shared" si="229"/>
        <v>0</v>
      </c>
      <c r="AB76" s="8">
        <f t="shared" si="229"/>
        <v>0</v>
      </c>
      <c r="AD76" s="8">
        <f t="shared" ref="AD76:AG76" si="230">AD38*$AD$1</f>
        <v>0</v>
      </c>
      <c r="AE76" s="8">
        <f t="shared" si="230"/>
        <v>0</v>
      </c>
      <c r="AF76" s="8">
        <f t="shared" si="230"/>
        <v>0</v>
      </c>
      <c r="AG76" s="8">
        <f t="shared" si="230"/>
        <v>0</v>
      </c>
      <c r="AI76" s="8">
        <f t="shared" ref="AI76:AL76" si="231">AI38*$AI$1</f>
        <v>0</v>
      </c>
      <c r="AJ76" s="8">
        <f t="shared" si="231"/>
        <v>0</v>
      </c>
      <c r="AK76" s="8">
        <f t="shared" si="231"/>
        <v>0</v>
      </c>
      <c r="AL76" s="8">
        <f t="shared" si="231"/>
        <v>0</v>
      </c>
      <c r="AN76" s="8">
        <f t="shared" ref="AN76:AP76" si="232">AN38*$AN$1</f>
        <v>0</v>
      </c>
      <c r="AO76" s="8">
        <f t="shared" si="232"/>
        <v>0</v>
      </c>
      <c r="AP76" s="8">
        <f t="shared" si="232"/>
        <v>0</v>
      </c>
    </row>
    <row r="77" spans="1:42" x14ac:dyDescent="0.25">
      <c r="A77" s="5" t="str">
        <f t="shared" si="13"/>
        <v>k__Bacteria;p__Bacteroidetes;c__Flavobacteriia;o__Flavobacteriales;f__Flavobacteriaceae;g__Flavobacterium;s__succinicans</v>
      </c>
      <c r="B77"/>
      <c r="C77" s="8">
        <f t="shared" ref="C77:G77" si="233">C39*$C$1</f>
        <v>173148.49080308477</v>
      </c>
      <c r="D77" s="8">
        <f t="shared" si="233"/>
        <v>188935.13151736619</v>
      </c>
      <c r="E77" s="8">
        <f t="shared" si="233"/>
        <v>173440.20940425579</v>
      </c>
      <c r="F77" s="8">
        <f t="shared" si="233"/>
        <v>180862.49787360764</v>
      </c>
      <c r="G77" s="8">
        <f t="shared" si="233"/>
        <v>184436.55375057447</v>
      </c>
      <c r="H77" s="9"/>
      <c r="I77" s="8">
        <f t="shared" ref="I77:O77" si="234">I39*$I$1</f>
        <v>3000.7643038522597</v>
      </c>
      <c r="J77" s="8">
        <f t="shared" si="234"/>
        <v>3149.692715691026</v>
      </c>
      <c r="K77" s="8">
        <f t="shared" si="234"/>
        <v>3133.3344524110285</v>
      </c>
      <c r="L77" s="8">
        <f t="shared" si="234"/>
        <v>2852.6840086434449</v>
      </c>
      <c r="M77" s="8">
        <f t="shared" si="234"/>
        <v>3683.2293174173401</v>
      </c>
      <c r="N77" s="8">
        <f t="shared" si="234"/>
        <v>4534.6698460314101</v>
      </c>
      <c r="O77" s="8">
        <f t="shared" si="234"/>
        <v>3928.5422561268183</v>
      </c>
      <c r="P77" s="9"/>
      <c r="Q77" s="8">
        <f t="shared" ref="Q77:W77" si="235">Q39*$Q$1</f>
        <v>7807.8751096142496</v>
      </c>
      <c r="R77" s="8">
        <f t="shared" si="235"/>
        <v>6836.9342869863576</v>
      </c>
      <c r="S77" s="8">
        <f t="shared" si="235"/>
        <v>5154.0154462214005</v>
      </c>
      <c r="T77" s="8">
        <f t="shared" si="235"/>
        <v>8607.5248167396294</v>
      </c>
      <c r="U77" s="8">
        <f t="shared" si="235"/>
        <v>7127.7308087069359</v>
      </c>
      <c r="V77" s="8">
        <f t="shared" si="235"/>
        <v>14356.568060219039</v>
      </c>
      <c r="W77" s="8">
        <f t="shared" si="235"/>
        <v>14044.940504851007</v>
      </c>
      <c r="Y77" s="8">
        <f t="shared" ref="Y77:AB77" si="236">Y39*$Y$1</f>
        <v>5197620.227342587</v>
      </c>
      <c r="Z77" s="8">
        <f t="shared" si="236"/>
        <v>0</v>
      </c>
      <c r="AA77" s="8">
        <f t="shared" si="236"/>
        <v>0</v>
      </c>
      <c r="AB77" s="8">
        <f t="shared" si="236"/>
        <v>7656682.4135110164</v>
      </c>
      <c r="AD77" s="8">
        <f t="shared" ref="AD77:AG77" si="237">AD39*$AD$1</f>
        <v>0</v>
      </c>
      <c r="AE77" s="8">
        <f t="shared" si="237"/>
        <v>670618.37561091583</v>
      </c>
      <c r="AF77" s="8">
        <f t="shared" si="237"/>
        <v>0</v>
      </c>
      <c r="AG77" s="8">
        <f t="shared" si="237"/>
        <v>0</v>
      </c>
      <c r="AI77" s="8">
        <f t="shared" ref="AI77:AL77" si="238">AI39*$AI$1</f>
        <v>0</v>
      </c>
      <c r="AJ77" s="8">
        <f t="shared" si="238"/>
        <v>0</v>
      </c>
      <c r="AK77" s="8">
        <f t="shared" si="238"/>
        <v>1281432.3585959589</v>
      </c>
      <c r="AL77" s="8">
        <f t="shared" si="238"/>
        <v>2170273.3995217104</v>
      </c>
      <c r="AN77" s="8">
        <f t="shared" ref="AN77:AP77" si="239">AN39*$AN$1</f>
        <v>275421.49430510576</v>
      </c>
      <c r="AO77" s="8">
        <f t="shared" si="239"/>
        <v>0</v>
      </c>
      <c r="AP77" s="8">
        <f t="shared" si="239"/>
        <v>729540.07499298081</v>
      </c>
    </row>
    <row r="78" spans="1:42" x14ac:dyDescent="0.25">
      <c r="B78"/>
      <c r="C78" s="8">
        <f t="shared" ref="C78:G78" si="240">C40*$C$1</f>
        <v>0</v>
      </c>
      <c r="D78" s="8">
        <f t="shared" si="240"/>
        <v>0</v>
      </c>
      <c r="E78" s="8">
        <f t="shared" si="240"/>
        <v>0</v>
      </c>
      <c r="F78" s="8">
        <f t="shared" si="240"/>
        <v>0</v>
      </c>
      <c r="G78" s="8">
        <f t="shared" si="240"/>
        <v>0</v>
      </c>
      <c r="H78" s="9"/>
      <c r="I78" s="8">
        <f t="shared" ref="I78:O78" si="241">I40*$I$1</f>
        <v>0</v>
      </c>
      <c r="J78" s="8">
        <f t="shared" si="241"/>
        <v>0</v>
      </c>
      <c r="K78" s="8">
        <f t="shared" si="241"/>
        <v>0</v>
      </c>
      <c r="L78" s="8">
        <f t="shared" si="241"/>
        <v>0</v>
      </c>
      <c r="M78" s="8">
        <f t="shared" si="241"/>
        <v>0</v>
      </c>
      <c r="N78" s="8">
        <f t="shared" si="241"/>
        <v>0</v>
      </c>
      <c r="O78" s="8">
        <f t="shared" si="241"/>
        <v>0</v>
      </c>
      <c r="P78" s="9"/>
      <c r="Q78" s="8">
        <f t="shared" ref="Q78:W78" si="242">Q40*$Q$1</f>
        <v>0</v>
      </c>
      <c r="R78" s="8">
        <f t="shared" si="242"/>
        <v>0</v>
      </c>
      <c r="S78" s="8">
        <f t="shared" si="242"/>
        <v>0</v>
      </c>
      <c r="T78" s="8">
        <f t="shared" si="242"/>
        <v>0</v>
      </c>
      <c r="U78" s="8">
        <f t="shared" si="242"/>
        <v>0</v>
      </c>
      <c r="V78" s="8">
        <f t="shared" si="242"/>
        <v>0</v>
      </c>
      <c r="W78" s="8">
        <f t="shared" si="242"/>
        <v>0</v>
      </c>
      <c r="Y78" s="8">
        <f t="shared" ref="Y78:AB78" si="243">Y40*$Y$1</f>
        <v>0</v>
      </c>
      <c r="Z78" s="8">
        <f t="shared" si="243"/>
        <v>0</v>
      </c>
      <c r="AA78" s="8">
        <f t="shared" si="243"/>
        <v>0</v>
      </c>
      <c r="AB78" s="8">
        <f t="shared" si="243"/>
        <v>0</v>
      </c>
      <c r="AD78" s="8">
        <f t="shared" ref="AD78:AG78" si="244">AD40*$AD$1</f>
        <v>0</v>
      </c>
      <c r="AE78" s="8">
        <f t="shared" si="244"/>
        <v>0</v>
      </c>
      <c r="AF78" s="8">
        <f t="shared" si="244"/>
        <v>0</v>
      </c>
      <c r="AG78" s="8">
        <f t="shared" si="244"/>
        <v>0</v>
      </c>
      <c r="AI78" s="8">
        <f t="shared" ref="AI78:AL78" si="245">AI40*$AI$1</f>
        <v>0</v>
      </c>
      <c r="AJ78" s="8">
        <f t="shared" si="245"/>
        <v>0</v>
      </c>
      <c r="AK78" s="8">
        <f t="shared" si="245"/>
        <v>0</v>
      </c>
      <c r="AL78" s="8">
        <f t="shared" si="245"/>
        <v>0</v>
      </c>
      <c r="AN78" s="8">
        <f t="shared" ref="AN78:AP78" si="246">AN40*$AN$1</f>
        <v>0</v>
      </c>
      <c r="AO78" s="8">
        <f t="shared" si="246"/>
        <v>0</v>
      </c>
      <c r="AP78" s="8">
        <f t="shared" si="246"/>
        <v>0</v>
      </c>
    </row>
    <row r="79" spans="1:42" x14ac:dyDescent="0.25">
      <c r="B79"/>
      <c r="C79" s="8"/>
      <c r="D79" s="8"/>
      <c r="E79" s="8"/>
      <c r="F79" s="8"/>
      <c r="G79" s="8"/>
      <c r="H79" s="9"/>
      <c r="I79" s="8"/>
      <c r="J79" s="8"/>
      <c r="K79" s="8"/>
      <c r="L79" s="8"/>
      <c r="M79" s="8"/>
      <c r="N79" s="8"/>
      <c r="O79" s="8"/>
      <c r="P79" s="9"/>
      <c r="Q79" s="8"/>
      <c r="R79" s="8"/>
      <c r="S79" s="8"/>
      <c r="T79" s="8"/>
      <c r="U79" s="8"/>
      <c r="V79" s="8"/>
      <c r="W79" s="8"/>
      <c r="Y79" s="8"/>
      <c r="Z79" s="8"/>
      <c r="AA79" s="8"/>
      <c r="AB79" s="8"/>
      <c r="AD79" s="8"/>
      <c r="AE79" s="8"/>
      <c r="AF79" s="8"/>
      <c r="AG79" s="8"/>
      <c r="AI79" s="8"/>
      <c r="AJ79" s="8"/>
      <c r="AK79" s="8"/>
      <c r="AL79" s="8"/>
      <c r="AN79" s="8"/>
      <c r="AO79" s="8"/>
      <c r="AP79" s="8"/>
    </row>
    <row r="80" spans="1:42" x14ac:dyDescent="0.25">
      <c r="B80"/>
      <c r="C80" s="8"/>
      <c r="D80" s="8"/>
      <c r="E80" s="8"/>
      <c r="F80" s="8"/>
      <c r="G80" s="8"/>
      <c r="H80" s="9"/>
      <c r="I80" s="8"/>
      <c r="J80" s="8"/>
      <c r="K80" s="8"/>
      <c r="L80" s="8"/>
      <c r="M80" s="8"/>
      <c r="N80" s="8"/>
      <c r="O80" s="8"/>
      <c r="P80" s="9"/>
      <c r="Q80" s="8"/>
      <c r="R80" s="8"/>
      <c r="S80" s="8"/>
      <c r="T80" s="8"/>
      <c r="U80" s="8"/>
      <c r="V80" s="8"/>
      <c r="W80" s="8"/>
      <c r="Y80" s="8"/>
      <c r="Z80" s="8"/>
      <c r="AA80" s="8"/>
      <c r="AB80" s="8"/>
      <c r="AD80" s="8"/>
      <c r="AE80" s="8"/>
      <c r="AF80" s="8"/>
      <c r="AG80" s="8"/>
      <c r="AI80" s="8"/>
      <c r="AJ80" s="8"/>
      <c r="AK80" s="8"/>
      <c r="AL80" s="8"/>
      <c r="AN80" s="8"/>
      <c r="AO80" s="8"/>
      <c r="AP80" s="8"/>
    </row>
    <row r="81" spans="2:42" x14ac:dyDescent="0.25">
      <c r="B81"/>
      <c r="C81" s="8"/>
      <c r="D81" s="8"/>
      <c r="E81" s="8"/>
      <c r="F81" s="8"/>
      <c r="G81" s="8"/>
      <c r="H81" s="9"/>
      <c r="I81" s="8"/>
      <c r="J81" s="8"/>
      <c r="K81" s="8"/>
      <c r="L81" s="8"/>
      <c r="M81" s="8"/>
      <c r="N81" s="8"/>
      <c r="O81" s="8"/>
      <c r="P81" s="9"/>
      <c r="Q81" s="8"/>
      <c r="R81" s="8"/>
      <c r="S81" s="8"/>
      <c r="T81" s="8"/>
      <c r="U81" s="8"/>
      <c r="V81" s="8"/>
      <c r="W81" s="8"/>
      <c r="Y81" s="102"/>
      <c r="Z81" s="102"/>
      <c r="AA81" s="102"/>
      <c r="AB81" s="102"/>
      <c r="AD81" s="8"/>
      <c r="AE81" s="8"/>
      <c r="AF81" s="8"/>
      <c r="AG81" s="8"/>
      <c r="AI81" s="8"/>
      <c r="AJ81" s="8"/>
      <c r="AK81" s="8"/>
      <c r="AL81" s="8"/>
      <c r="AN81" s="8"/>
      <c r="AO81" s="8"/>
      <c r="AP81" s="8"/>
    </row>
    <row r="82" spans="2:42" x14ac:dyDescent="0.25">
      <c r="B82"/>
      <c r="C82" s="8"/>
      <c r="D82" s="8"/>
      <c r="E82" s="8"/>
      <c r="F82" s="8"/>
      <c r="G82" s="8"/>
      <c r="H82" s="9"/>
      <c r="I82" s="8"/>
      <c r="J82" s="8"/>
      <c r="K82" s="8"/>
      <c r="L82" s="8"/>
      <c r="M82" s="8"/>
      <c r="N82" s="8"/>
      <c r="O82" s="8"/>
      <c r="P82" s="9"/>
      <c r="Q82" s="8"/>
      <c r="R82" s="8"/>
      <c r="S82" s="8"/>
      <c r="T82" s="8"/>
      <c r="U82" s="8"/>
      <c r="V82" s="8"/>
      <c r="W82" s="8"/>
      <c r="Y82" s="8"/>
      <c r="Z82" s="8"/>
      <c r="AA82" s="8"/>
      <c r="AB82" s="8"/>
      <c r="AD82" s="8"/>
      <c r="AE82" s="8"/>
      <c r="AF82" s="8"/>
      <c r="AG82" s="8"/>
      <c r="AI82" s="8"/>
      <c r="AJ82" s="8"/>
      <c r="AK82" s="8"/>
      <c r="AL82" s="8"/>
      <c r="AN82" s="8"/>
      <c r="AO82" s="8"/>
      <c r="AP82" s="8"/>
    </row>
    <row r="83" spans="2:42" x14ac:dyDescent="0.25">
      <c r="B83"/>
      <c r="C83" s="8"/>
      <c r="D83" s="8"/>
      <c r="E83" s="8"/>
      <c r="F83" s="8"/>
      <c r="G83" s="8"/>
      <c r="H83" s="9"/>
      <c r="I83" s="8"/>
      <c r="J83" s="8"/>
      <c r="K83" s="8"/>
      <c r="L83" s="8"/>
      <c r="M83" s="8"/>
      <c r="N83" s="8"/>
      <c r="O83" s="8"/>
      <c r="P83" s="9"/>
      <c r="Q83" s="8"/>
      <c r="R83" s="8"/>
      <c r="S83" s="8"/>
      <c r="T83" s="8"/>
      <c r="U83" s="8"/>
      <c r="V83" s="8"/>
      <c r="W83" s="8"/>
      <c r="Y83" s="8"/>
      <c r="Z83" s="8"/>
      <c r="AA83" s="8"/>
      <c r="AB83" s="8"/>
      <c r="AD83" s="8"/>
      <c r="AE83" s="8"/>
      <c r="AF83" s="8"/>
      <c r="AG83" s="8"/>
      <c r="AI83" s="8"/>
      <c r="AJ83" s="8"/>
      <c r="AK83" s="8"/>
      <c r="AL83" s="8"/>
      <c r="AN83" s="8"/>
      <c r="AO83" s="8"/>
      <c r="AP83" s="8"/>
    </row>
  </sheetData>
  <conditionalFormatting sqref="C4:W21">
    <cfRule type="colorScale" priority="2">
      <colorScale>
        <cfvo type="min"/>
        <cfvo type="max"/>
        <color theme="0"/>
        <color theme="4" tint="-0.499984740745262"/>
      </colorScale>
    </cfRule>
  </conditionalFormatting>
  <conditionalFormatting sqref="Y59:AP65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{16CC6843-56FB-4480-AF89-62FB7B172D0A}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CC6843-56FB-4480-AF89-62FB7B172D0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Y59:AP65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6"/>
  <sheetViews>
    <sheetView topLeftCell="A22" zoomScale="55" zoomScaleNormal="55" workbookViewId="0">
      <selection activeCell="Y1" sqref="Y1"/>
    </sheetView>
  </sheetViews>
  <sheetFormatPr defaultRowHeight="15" x14ac:dyDescent="0.25"/>
  <cols>
    <col min="1" max="1" width="10.85546875" bestFit="1" customWidth="1"/>
    <col min="5" max="5" width="21.140625" bestFit="1" customWidth="1"/>
    <col min="6" max="6" width="11.140625" bestFit="1" customWidth="1"/>
    <col min="8" max="8" width="10.5703125" bestFit="1" customWidth="1"/>
    <col min="9" max="9" width="18.42578125" bestFit="1" customWidth="1"/>
    <col min="10" max="10" width="15.28515625" bestFit="1" customWidth="1"/>
    <col min="34" max="34" width="8" bestFit="1" customWidth="1"/>
    <col min="43" max="43" width="12.28515625" bestFit="1" customWidth="1"/>
  </cols>
  <sheetData>
    <row r="1" spans="1:51" ht="409.5" x14ac:dyDescent="0.25">
      <c r="B1" s="5"/>
      <c r="C1" s="5" t="s">
        <v>0</v>
      </c>
      <c r="D1" s="68" t="s">
        <v>1</v>
      </c>
      <c r="E1" s="68" t="s">
        <v>2</v>
      </c>
      <c r="F1" s="68" t="s">
        <v>3</v>
      </c>
      <c r="G1" s="68" t="s">
        <v>4</v>
      </c>
      <c r="H1" s="68"/>
      <c r="I1" s="68"/>
      <c r="J1" s="68"/>
      <c r="K1" s="68" t="s">
        <v>17</v>
      </c>
      <c r="L1" s="68" t="s">
        <v>18</v>
      </c>
      <c r="M1" s="68"/>
      <c r="N1" s="68"/>
      <c r="O1" s="68"/>
      <c r="P1" s="68"/>
      <c r="Q1" s="68" t="s">
        <v>5</v>
      </c>
      <c r="R1" s="68" t="s">
        <v>6</v>
      </c>
      <c r="S1" s="68" t="s">
        <v>7</v>
      </c>
      <c r="T1" s="68" t="s">
        <v>8</v>
      </c>
      <c r="U1" s="68" t="s">
        <v>9</v>
      </c>
      <c r="V1" s="68"/>
      <c r="W1" s="68"/>
      <c r="X1" s="68"/>
      <c r="Y1" s="68" t="s">
        <v>19</v>
      </c>
      <c r="Z1" s="68" t="s">
        <v>20</v>
      </c>
      <c r="AA1" s="68" t="s">
        <v>21</v>
      </c>
      <c r="AB1" s="68"/>
      <c r="AC1" s="68"/>
      <c r="AD1" s="68"/>
      <c r="AE1" s="10" t="s">
        <v>67</v>
      </c>
      <c r="AF1" s="10" t="s">
        <v>68</v>
      </c>
      <c r="AG1" s="10"/>
      <c r="AH1" s="10"/>
      <c r="AI1" s="68"/>
      <c r="AJ1" s="10" t="s">
        <v>88</v>
      </c>
      <c r="AK1" s="10" t="s">
        <v>89</v>
      </c>
      <c r="AL1" s="10" t="s">
        <v>90</v>
      </c>
      <c r="AM1" s="10" t="s">
        <v>91</v>
      </c>
      <c r="AN1" s="10" t="s">
        <v>92</v>
      </c>
      <c r="AO1" s="10" t="s">
        <v>93</v>
      </c>
      <c r="AS1" s="68" t="s">
        <v>10</v>
      </c>
      <c r="AT1" s="68" t="s">
        <v>11</v>
      </c>
      <c r="AU1" s="68" t="s">
        <v>12</v>
      </c>
      <c r="AV1" s="68" t="s">
        <v>13</v>
      </c>
      <c r="AW1" s="68" t="s">
        <v>14</v>
      </c>
      <c r="AX1" s="68" t="s">
        <v>15</v>
      </c>
      <c r="AY1" s="68" t="s">
        <v>16</v>
      </c>
    </row>
    <row r="2" spans="1:5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I2" s="5"/>
      <c r="AS2" s="5"/>
      <c r="AT2" s="5"/>
      <c r="AU2" s="5"/>
      <c r="AV2" s="5"/>
      <c r="AW2" s="5"/>
      <c r="AX2" s="5"/>
      <c r="AY2" s="5"/>
    </row>
    <row r="3" spans="1:51" x14ac:dyDescent="0.25">
      <c r="A3" s="1">
        <v>11856744.92638281</v>
      </c>
      <c r="B3" s="5"/>
      <c r="C3" t="s">
        <v>37</v>
      </c>
      <c r="D3" s="5">
        <v>3.5641066077899998E-3</v>
      </c>
      <c r="E3" s="5">
        <v>4.1318404037199996E-3</v>
      </c>
      <c r="F3" s="5">
        <v>0</v>
      </c>
      <c r="G3" s="5">
        <v>0</v>
      </c>
      <c r="H3" s="5"/>
      <c r="I3" s="5"/>
      <c r="J3" s="5"/>
      <c r="K3" s="7">
        <v>6.3081532881199996E-5</v>
      </c>
      <c r="L3" s="5">
        <v>0</v>
      </c>
      <c r="M3" s="5"/>
      <c r="N3" s="5"/>
      <c r="O3" s="5"/>
      <c r="P3" s="5"/>
      <c r="Q3" s="7">
        <v>9.4622299321900005E-5</v>
      </c>
      <c r="R3" s="7">
        <v>3.1540766440599998E-5</v>
      </c>
      <c r="S3" s="7">
        <v>3.1540766440599998E-5</v>
      </c>
      <c r="T3" s="7">
        <v>3.1540766440599998E-5</v>
      </c>
      <c r="U3" s="5">
        <v>1.5770383220300001E-4</v>
      </c>
      <c r="V3" s="5"/>
      <c r="W3" s="5"/>
      <c r="X3" s="5"/>
      <c r="Y3" s="7">
        <v>9.4622299321900005E-5</v>
      </c>
      <c r="Z3" s="7">
        <v>9.4622299321900005E-5</v>
      </c>
      <c r="AA3" s="5">
        <v>0</v>
      </c>
      <c r="AB3" s="5"/>
      <c r="AC3" s="5"/>
      <c r="AD3" s="5"/>
      <c r="AE3">
        <v>1.5770383220300001E-4</v>
      </c>
      <c r="AF3">
        <v>0</v>
      </c>
      <c r="AI3" s="5"/>
      <c r="AJ3">
        <v>2.50118277874E-2</v>
      </c>
      <c r="AK3">
        <v>4.4977132944300002E-2</v>
      </c>
      <c r="AL3">
        <v>6.6235609525300005E-4</v>
      </c>
      <c r="AM3">
        <v>2.8386689796599997E-4</v>
      </c>
      <c r="AN3">
        <v>2.5232613152500002E-4</v>
      </c>
      <c r="AO3">
        <v>1.4603374862E-2</v>
      </c>
      <c r="AS3" s="5">
        <v>0</v>
      </c>
      <c r="AT3" s="5">
        <v>1.8924459864399999E-4</v>
      </c>
      <c r="AU3" s="7">
        <v>6.3081532881199996E-5</v>
      </c>
      <c r="AV3" s="7">
        <v>3.1540766440599998E-5</v>
      </c>
      <c r="AW3" s="5">
        <v>0</v>
      </c>
      <c r="AX3" s="5">
        <v>0</v>
      </c>
      <c r="AY3" s="5">
        <v>0</v>
      </c>
    </row>
    <row r="4" spans="1:51" x14ac:dyDescent="0.25">
      <c r="A4" t="s">
        <v>80</v>
      </c>
      <c r="B4" s="5"/>
      <c r="C4" t="s">
        <v>38</v>
      </c>
      <c r="D4" s="5">
        <v>3.1949519758800002E-3</v>
      </c>
      <c r="E4" s="5">
        <v>5.1518600611000004E-3</v>
      </c>
      <c r="F4" s="5">
        <v>0</v>
      </c>
      <c r="G4" s="5">
        <v>0</v>
      </c>
      <c r="H4" s="5"/>
      <c r="I4" s="5"/>
      <c r="J4" s="5"/>
      <c r="K4" s="5">
        <v>0</v>
      </c>
      <c r="L4" s="7">
        <v>1.9968449849200001E-5</v>
      </c>
      <c r="M4" s="7"/>
      <c r="N4" s="7"/>
      <c r="O4" s="7"/>
      <c r="P4" s="5"/>
      <c r="Q4" s="7">
        <v>5.9905349547699999E-5</v>
      </c>
      <c r="R4" s="5">
        <v>1.39779148945E-4</v>
      </c>
      <c r="S4" s="5">
        <v>0</v>
      </c>
      <c r="T4" s="7">
        <v>7.9873799396999997E-5</v>
      </c>
      <c r="U4" s="5">
        <v>1.39779148945E-4</v>
      </c>
      <c r="V4" s="5"/>
      <c r="W4" s="5"/>
      <c r="X4" s="5"/>
      <c r="Y4" s="7">
        <v>5.9905349547699999E-5</v>
      </c>
      <c r="Z4" s="5">
        <v>1.39779148945E-4</v>
      </c>
      <c r="AA4" s="5">
        <v>0</v>
      </c>
      <c r="AB4" s="5"/>
      <c r="AC4" s="7"/>
      <c r="AD4" s="5"/>
      <c r="AE4" s="1">
        <v>9.9842249246199997E-5</v>
      </c>
      <c r="AF4">
        <v>0</v>
      </c>
      <c r="AI4" s="5"/>
      <c r="AJ4">
        <v>2.59190479043E-2</v>
      </c>
      <c r="AK4">
        <v>4.1853870884E-2</v>
      </c>
      <c r="AL4">
        <v>5.5911659577900005E-4</v>
      </c>
      <c r="AM4">
        <v>2.1965294834200001E-4</v>
      </c>
      <c r="AN4">
        <v>4.3930589668300001E-4</v>
      </c>
      <c r="AO4">
        <v>1.5934822979699999E-2</v>
      </c>
      <c r="AS4" s="5">
        <v>0</v>
      </c>
      <c r="AT4" s="7">
        <v>7.9873799396999997E-5</v>
      </c>
      <c r="AU4" s="7">
        <v>1.9968449849200001E-5</v>
      </c>
      <c r="AV4" s="7">
        <v>1.9968449849200001E-5</v>
      </c>
      <c r="AW4" s="5">
        <v>0</v>
      </c>
      <c r="AX4" s="5">
        <v>0</v>
      </c>
      <c r="AY4" s="5">
        <v>0</v>
      </c>
    </row>
    <row r="5" spans="1:51" x14ac:dyDescent="0.25">
      <c r="B5" s="5"/>
      <c r="C5" t="s">
        <v>39</v>
      </c>
      <c r="D5" s="5">
        <v>4.20745133091E-3</v>
      </c>
      <c r="E5" s="5">
        <v>5.4282662248499999E-3</v>
      </c>
      <c r="F5" s="5">
        <v>0</v>
      </c>
      <c r="G5" s="5">
        <v>0</v>
      </c>
      <c r="H5" s="5"/>
      <c r="I5" s="5"/>
      <c r="J5" s="5"/>
      <c r="K5" s="5">
        <v>0</v>
      </c>
      <c r="L5" s="5">
        <v>0</v>
      </c>
      <c r="M5" s="5"/>
      <c r="N5" s="5"/>
      <c r="O5" s="5"/>
      <c r="P5" s="5"/>
      <c r="Q5" s="5">
        <v>0</v>
      </c>
      <c r="R5" s="5">
        <v>1.09001329816E-4</v>
      </c>
      <c r="S5" s="5">
        <v>0</v>
      </c>
      <c r="T5" s="7">
        <v>6.5400797889699993E-5</v>
      </c>
      <c r="U5" s="7">
        <v>4.3600531926500001E-5</v>
      </c>
      <c r="V5" s="7"/>
      <c r="W5" s="7"/>
      <c r="X5" s="7"/>
      <c r="Y5" s="5">
        <v>1.9620239366899999E-4</v>
      </c>
      <c r="Z5" s="7">
        <v>8.7201063853000003E-5</v>
      </c>
      <c r="AA5" s="7">
        <v>2.1800265963199999E-5</v>
      </c>
      <c r="AB5" s="7"/>
      <c r="AC5" s="5"/>
      <c r="AD5" s="5"/>
      <c r="AE5">
        <v>1.09001329816E-4</v>
      </c>
      <c r="AF5">
        <v>0</v>
      </c>
      <c r="AI5" s="5"/>
      <c r="AJ5">
        <v>3.3463408253600002E-2</v>
      </c>
      <c r="AK5">
        <v>4.2357916766600001E-2</v>
      </c>
      <c r="AL5">
        <v>6.9760851082400002E-4</v>
      </c>
      <c r="AM5">
        <v>3.0520372348499998E-4</v>
      </c>
      <c r="AN5">
        <v>2.39802925596E-4</v>
      </c>
      <c r="AO5">
        <v>1.46279784613E-2</v>
      </c>
      <c r="AS5" s="5">
        <v>0</v>
      </c>
      <c r="AT5" s="5">
        <v>0</v>
      </c>
      <c r="AU5" s="5">
        <v>1.09001329816E-4</v>
      </c>
      <c r="AV5" s="5">
        <v>0</v>
      </c>
      <c r="AW5" s="5">
        <v>0</v>
      </c>
      <c r="AX5" s="5">
        <v>0</v>
      </c>
      <c r="AY5" s="5">
        <v>0</v>
      </c>
    </row>
    <row r="6" spans="1:51" x14ac:dyDescent="0.25">
      <c r="B6" s="5"/>
      <c r="C6" t="s">
        <v>40</v>
      </c>
      <c r="D6" s="5">
        <v>3.4583912305099999E-3</v>
      </c>
      <c r="E6" s="5">
        <v>4.0450825999700001E-3</v>
      </c>
      <c r="F6" s="5">
        <v>0</v>
      </c>
      <c r="G6" s="5">
        <v>0</v>
      </c>
      <c r="H6" s="5"/>
      <c r="I6" s="5"/>
      <c r="J6" s="5"/>
      <c r="K6" s="7">
        <v>6.1756986259100006E-5</v>
      </c>
      <c r="L6" s="5">
        <v>0</v>
      </c>
      <c r="M6" s="5"/>
      <c r="N6" s="5"/>
      <c r="O6" s="5"/>
      <c r="P6" s="5"/>
      <c r="Q6" s="5">
        <v>0</v>
      </c>
      <c r="R6" s="5">
        <v>2.16149451907E-4</v>
      </c>
      <c r="S6" s="7">
        <v>3.0878493129500001E-5</v>
      </c>
      <c r="T6" s="5">
        <v>0</v>
      </c>
      <c r="U6" s="7">
        <v>6.1756986259100006E-5</v>
      </c>
      <c r="V6" s="7"/>
      <c r="W6" s="7"/>
      <c r="X6" s="7"/>
      <c r="Y6" s="5">
        <v>2.16149451907E-4</v>
      </c>
      <c r="Z6" s="5">
        <v>3.0878493129499998E-4</v>
      </c>
      <c r="AA6" s="5">
        <v>0</v>
      </c>
      <c r="AB6" s="5"/>
      <c r="AC6" s="5"/>
      <c r="AD6" s="5"/>
      <c r="AE6" s="1">
        <v>3.0878493129500001E-5</v>
      </c>
      <c r="AF6">
        <v>0</v>
      </c>
      <c r="AI6" s="5"/>
      <c r="AJ6">
        <v>2.6277597653200001E-2</v>
      </c>
      <c r="AK6">
        <v>4.7120580515699999E-2</v>
      </c>
      <c r="AL6">
        <v>4.9405589007299998E-4</v>
      </c>
      <c r="AM6">
        <v>1.8527095877700001E-4</v>
      </c>
      <c r="AN6">
        <v>2.16149451907E-4</v>
      </c>
      <c r="AO6">
        <v>1.5253975606E-2</v>
      </c>
      <c r="AS6" s="5">
        <v>0</v>
      </c>
      <c r="AT6" s="5">
        <v>1.54392465648E-4</v>
      </c>
      <c r="AU6" s="7">
        <v>6.1756986259100006E-5</v>
      </c>
      <c r="AV6" s="5">
        <v>0</v>
      </c>
      <c r="AW6" s="5">
        <v>0</v>
      </c>
      <c r="AX6" s="5">
        <v>0</v>
      </c>
      <c r="AY6" s="5">
        <v>0</v>
      </c>
    </row>
    <row r="7" spans="1:51" x14ac:dyDescent="0.25">
      <c r="B7" s="5"/>
      <c r="C7" t="s">
        <v>41</v>
      </c>
      <c r="D7" s="5">
        <v>4.1093827319899998E-3</v>
      </c>
      <c r="E7" s="5">
        <v>5.9381656231800002E-3</v>
      </c>
      <c r="F7" s="5">
        <v>0</v>
      </c>
      <c r="G7" s="5">
        <v>0</v>
      </c>
      <c r="H7" s="5"/>
      <c r="I7" s="5"/>
      <c r="J7" s="5"/>
      <c r="K7" s="5">
        <v>0</v>
      </c>
      <c r="L7" s="5">
        <v>0</v>
      </c>
      <c r="M7" s="5"/>
      <c r="N7" s="5"/>
      <c r="O7" s="5"/>
      <c r="P7" s="5"/>
      <c r="Q7" s="7">
        <v>4.3030185675299998E-5</v>
      </c>
      <c r="R7" s="5">
        <v>1.29090557026E-4</v>
      </c>
      <c r="S7" s="7">
        <v>4.3030185675299998E-5</v>
      </c>
      <c r="T7" s="7">
        <v>2.15150928376E-5</v>
      </c>
      <c r="U7" s="5">
        <v>0</v>
      </c>
      <c r="V7" s="5"/>
      <c r="W7" s="5"/>
      <c r="X7" s="5"/>
      <c r="Y7" s="5">
        <v>1.29090557026E-4</v>
      </c>
      <c r="Z7" s="5">
        <v>1.50605649863E-4</v>
      </c>
      <c r="AA7" s="5">
        <v>0</v>
      </c>
      <c r="AB7" s="5"/>
      <c r="AC7" s="5"/>
      <c r="AD7" s="5"/>
      <c r="AE7">
        <v>1.0757546418799999E-4</v>
      </c>
      <c r="AF7" s="1">
        <v>4.3030185675299998E-5</v>
      </c>
      <c r="AG7" s="1"/>
      <c r="AH7" s="1"/>
      <c r="AI7" s="5"/>
      <c r="AJ7">
        <v>3.2702941113199997E-2</v>
      </c>
      <c r="AK7">
        <v>4.6967447664499999E-2</v>
      </c>
      <c r="AL7">
        <v>3.0121129972700001E-4</v>
      </c>
      <c r="AM7">
        <v>3.2272639256399998E-4</v>
      </c>
      <c r="AN7">
        <v>2.36666021214E-4</v>
      </c>
      <c r="AO7">
        <v>1.55554121216E-2</v>
      </c>
      <c r="AS7" s="5">
        <v>0</v>
      </c>
      <c r="AT7" s="5">
        <v>1.9363583553899999E-4</v>
      </c>
      <c r="AU7" s="7">
        <v>2.15150928376E-5</v>
      </c>
      <c r="AV7" s="5">
        <v>0</v>
      </c>
      <c r="AW7" s="5">
        <v>0</v>
      </c>
      <c r="AX7" s="5">
        <v>0</v>
      </c>
      <c r="AY7" s="5">
        <v>0</v>
      </c>
    </row>
    <row r="8" spans="1:51" x14ac:dyDescent="0.25">
      <c r="A8" s="1"/>
      <c r="B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/>
      <c r="R8" s="5"/>
      <c r="S8" s="7"/>
      <c r="T8" s="7"/>
      <c r="U8" s="5"/>
      <c r="V8" s="5"/>
      <c r="W8" s="5"/>
      <c r="X8" s="5"/>
      <c r="Y8" s="5"/>
      <c r="Z8" s="5"/>
      <c r="AA8" s="5"/>
      <c r="AB8" s="5"/>
      <c r="AC8" s="5"/>
      <c r="AD8" s="5"/>
      <c r="AF8" s="1"/>
      <c r="AG8" s="1"/>
      <c r="AH8" s="1"/>
      <c r="AI8" s="5"/>
      <c r="AS8" s="5"/>
      <c r="AT8" s="5"/>
      <c r="AU8" s="7"/>
      <c r="AV8" s="5"/>
      <c r="AW8" s="5"/>
      <c r="AX8" s="5"/>
      <c r="AY8" s="5"/>
    </row>
    <row r="9" spans="1:51" x14ac:dyDescent="0.25">
      <c r="A9" s="1">
        <v>3869080.7799442895</v>
      </c>
      <c r="B9" s="5"/>
      <c r="C9" t="s">
        <v>42</v>
      </c>
      <c r="D9" s="5">
        <v>6.55116491915E-3</v>
      </c>
      <c r="E9" s="5">
        <v>7.2656914850899998E-3</v>
      </c>
      <c r="F9" s="5">
        <v>0</v>
      </c>
      <c r="G9" s="7">
        <v>2.67612946044E-6</v>
      </c>
      <c r="H9" s="7"/>
      <c r="I9" s="7"/>
      <c r="J9" s="7"/>
      <c r="K9" s="5">
        <v>0</v>
      </c>
      <c r="L9" s="5">
        <v>0</v>
      </c>
      <c r="M9" s="5"/>
      <c r="N9" s="5"/>
      <c r="O9" s="5"/>
      <c r="P9" s="7"/>
      <c r="Q9" s="5">
        <v>0</v>
      </c>
      <c r="R9" s="7">
        <v>5.3522589208799999E-6</v>
      </c>
      <c r="S9" s="7">
        <v>1.07045178418E-5</v>
      </c>
      <c r="T9" s="5">
        <v>0</v>
      </c>
      <c r="U9" s="5">
        <v>0</v>
      </c>
      <c r="V9" s="5"/>
      <c r="W9" s="5"/>
      <c r="X9" s="5"/>
      <c r="Y9" s="5">
        <v>9.5002595845599996E-4</v>
      </c>
      <c r="Z9" s="5">
        <v>1.3701782837399999E-3</v>
      </c>
      <c r="AA9" s="5">
        <v>0</v>
      </c>
      <c r="AB9" s="5"/>
      <c r="AC9" s="5"/>
      <c r="AD9" s="5"/>
      <c r="AE9">
        <v>0</v>
      </c>
      <c r="AF9" s="1">
        <v>1.07045178418E-5</v>
      </c>
      <c r="AG9" s="1"/>
      <c r="AH9" s="1"/>
      <c r="AI9" s="5"/>
      <c r="AJ9">
        <v>5.7804396345500001E-4</v>
      </c>
      <c r="AK9">
        <v>3.7465812446099998E-4</v>
      </c>
      <c r="AL9">
        <v>0</v>
      </c>
      <c r="AM9" s="1">
        <v>1.07045178418E-5</v>
      </c>
      <c r="AN9" s="1">
        <v>5.3522589208799999E-6</v>
      </c>
      <c r="AO9">
        <v>7.9213432029000004E-4</v>
      </c>
      <c r="AS9" s="7">
        <v>2.67612946044E-6</v>
      </c>
      <c r="AT9" s="5">
        <v>5.4593040993000002E-4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</row>
    <row r="10" spans="1:51" x14ac:dyDescent="0.25">
      <c r="B10" s="5"/>
      <c r="C10" t="s">
        <v>42</v>
      </c>
      <c r="D10" s="5">
        <v>5.95548852408E-3</v>
      </c>
      <c r="E10" s="5">
        <v>7.21232863468E-3</v>
      </c>
      <c r="F10" s="5">
        <v>0</v>
      </c>
      <c r="G10" s="5">
        <v>0</v>
      </c>
      <c r="H10" s="5"/>
      <c r="I10" s="5"/>
      <c r="J10" s="5"/>
      <c r="K10" s="5">
        <v>0</v>
      </c>
      <c r="L10" s="5">
        <v>0</v>
      </c>
      <c r="M10" s="5"/>
      <c r="N10" s="5"/>
      <c r="O10" s="5"/>
      <c r="P10" s="5"/>
      <c r="Q10" s="5">
        <v>0</v>
      </c>
      <c r="R10" s="5">
        <v>0</v>
      </c>
      <c r="S10" s="7">
        <v>3.8672003403099998E-5</v>
      </c>
      <c r="T10" s="5">
        <v>0</v>
      </c>
      <c r="U10" s="5">
        <v>0</v>
      </c>
      <c r="V10" s="5"/>
      <c r="W10" s="5"/>
      <c r="X10" s="5"/>
      <c r="Y10" s="5">
        <v>1.16016010209E-3</v>
      </c>
      <c r="Z10" s="5">
        <v>8.8945607827200005E-4</v>
      </c>
      <c r="AA10" s="5">
        <v>0</v>
      </c>
      <c r="AB10" s="5"/>
      <c r="AC10" s="5"/>
      <c r="AD10" s="5"/>
      <c r="AE10">
        <v>0</v>
      </c>
      <c r="AF10">
        <v>0</v>
      </c>
      <c r="AI10" s="5"/>
      <c r="AJ10">
        <v>4.2539203743399999E-4</v>
      </c>
      <c r="AK10">
        <v>4.8340004253899998E-4</v>
      </c>
      <c r="AL10">
        <v>0</v>
      </c>
      <c r="AM10">
        <v>0</v>
      </c>
      <c r="AN10">
        <v>0</v>
      </c>
      <c r="AO10">
        <v>8.3144807316699995E-4</v>
      </c>
      <c r="AS10" s="5">
        <v>0</v>
      </c>
      <c r="AT10" s="5">
        <v>5.4140804764400002E-4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</row>
    <row r="11" spans="1:51" x14ac:dyDescent="0.25">
      <c r="B11" s="5"/>
      <c r="C11" t="s">
        <v>42</v>
      </c>
      <c r="D11" s="5">
        <v>4.3522785458300003E-3</v>
      </c>
      <c r="E11" s="5">
        <v>5.5338926306700001E-3</v>
      </c>
      <c r="F11" s="5">
        <v>0</v>
      </c>
      <c r="G11" s="5">
        <v>0</v>
      </c>
      <c r="H11" s="5"/>
      <c r="I11" s="5"/>
      <c r="J11" s="5"/>
      <c r="K11" s="5">
        <v>0</v>
      </c>
      <c r="L11" s="5">
        <v>0</v>
      </c>
      <c r="M11" s="5"/>
      <c r="N11" s="5"/>
      <c r="O11" s="5"/>
      <c r="P11" s="5"/>
      <c r="Q11" s="5">
        <v>0</v>
      </c>
      <c r="R11" s="5">
        <v>0</v>
      </c>
      <c r="S11" s="5">
        <v>0</v>
      </c>
      <c r="T11" s="5">
        <v>0</v>
      </c>
      <c r="U11" s="7">
        <v>3.9387136161300003E-5</v>
      </c>
      <c r="V11" s="7"/>
      <c r="W11" s="7"/>
      <c r="X11" s="7"/>
      <c r="Y11" s="5">
        <v>1.06345267636E-3</v>
      </c>
      <c r="Z11" s="5">
        <v>9.0590413171099998E-4</v>
      </c>
      <c r="AA11" s="5">
        <v>0</v>
      </c>
      <c r="AB11" s="5"/>
      <c r="AC11" s="5"/>
      <c r="AD11" s="5"/>
      <c r="AE11" s="1">
        <v>3.9387136161300003E-5</v>
      </c>
      <c r="AF11" s="1">
        <v>4.3325849777499999E-4</v>
      </c>
      <c r="AG11" s="1"/>
      <c r="AH11" s="1"/>
      <c r="AI11" s="5"/>
      <c r="AJ11">
        <v>6.4988774666199995E-4</v>
      </c>
      <c r="AK11">
        <v>3.1509708929100002E-4</v>
      </c>
      <c r="AL11">
        <v>0</v>
      </c>
      <c r="AM11">
        <v>0</v>
      </c>
      <c r="AN11" s="1">
        <v>1.96935680807E-5</v>
      </c>
      <c r="AO11">
        <v>8.2712985938800001E-4</v>
      </c>
      <c r="AS11" s="5">
        <v>0</v>
      </c>
      <c r="AT11" s="5">
        <v>9.0590413171099998E-4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</row>
    <row r="12" spans="1:51" x14ac:dyDescent="0.25">
      <c r="B12" s="5"/>
      <c r="C12" t="s">
        <v>42</v>
      </c>
      <c r="D12" s="5">
        <v>5.1207022677399999E-3</v>
      </c>
      <c r="E12" s="5">
        <v>6.2395111665699996E-3</v>
      </c>
      <c r="F12" s="7">
        <v>2.1515555746799999E-5</v>
      </c>
      <c r="G12" s="5">
        <v>0</v>
      </c>
      <c r="H12" s="5"/>
      <c r="I12" s="5"/>
      <c r="J12" s="5"/>
      <c r="K12" s="5">
        <v>0</v>
      </c>
      <c r="L12" s="5">
        <v>0</v>
      </c>
      <c r="M12" s="5"/>
      <c r="N12" s="5"/>
      <c r="O12" s="5"/>
      <c r="P12" s="5"/>
      <c r="Q12" s="5">
        <v>0</v>
      </c>
      <c r="R12" s="5">
        <v>0</v>
      </c>
      <c r="S12" s="7">
        <v>2.1515555746799999E-5</v>
      </c>
      <c r="T12" s="5">
        <v>0</v>
      </c>
      <c r="U12" s="5">
        <v>0</v>
      </c>
      <c r="V12" s="5"/>
      <c r="W12" s="5"/>
      <c r="X12" s="5"/>
      <c r="Y12" s="5">
        <v>1.0112311201000001E-3</v>
      </c>
      <c r="Z12" s="5">
        <v>9.6820000860600003E-4</v>
      </c>
      <c r="AA12" s="5">
        <v>0</v>
      </c>
      <c r="AB12" s="5"/>
      <c r="AC12" s="5"/>
      <c r="AD12" s="5"/>
      <c r="AE12">
        <v>0</v>
      </c>
      <c r="AF12" s="1">
        <v>4.3031111493599999E-5</v>
      </c>
      <c r="AG12" s="1"/>
      <c r="AH12" s="1"/>
      <c r="AI12" s="5"/>
      <c r="AJ12">
        <v>8.3910667412500002E-4</v>
      </c>
      <c r="AK12">
        <v>5.8092000516400005E-4</v>
      </c>
      <c r="AL12">
        <v>0</v>
      </c>
      <c r="AM12" s="1">
        <v>2.1515555746799999E-5</v>
      </c>
      <c r="AN12" s="1">
        <v>2.1515555746799999E-5</v>
      </c>
      <c r="AO12">
        <v>7.5304445113800003E-4</v>
      </c>
      <c r="AS12" s="5">
        <v>0</v>
      </c>
      <c r="AT12" s="5">
        <v>9.2516889711299996E-4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</row>
    <row r="13" spans="1:51" x14ac:dyDescent="0.25">
      <c r="B13" s="5"/>
      <c r="C13" t="s">
        <v>42</v>
      </c>
      <c r="D13" s="5">
        <v>3.75827381175E-3</v>
      </c>
      <c r="E13" s="5">
        <v>3.8330653303900002E-3</v>
      </c>
      <c r="F13" s="5">
        <v>0</v>
      </c>
      <c r="G13" s="5">
        <v>0</v>
      </c>
      <c r="H13" s="5"/>
      <c r="I13" s="5"/>
      <c r="J13" s="5"/>
      <c r="K13" s="5">
        <v>0</v>
      </c>
      <c r="L13" s="5">
        <v>0</v>
      </c>
      <c r="M13" s="5"/>
      <c r="N13" s="5"/>
      <c r="O13" s="5"/>
      <c r="P13" s="5"/>
      <c r="Q13" s="5">
        <v>0</v>
      </c>
      <c r="R13" s="5">
        <v>0</v>
      </c>
      <c r="S13" s="7">
        <v>3.7395759320899997E-5</v>
      </c>
      <c r="T13" s="5">
        <v>0</v>
      </c>
      <c r="U13" s="5">
        <v>0</v>
      </c>
      <c r="V13" s="5"/>
      <c r="W13" s="5"/>
      <c r="X13" s="5"/>
      <c r="Y13" s="5">
        <v>4.3005123219000001E-4</v>
      </c>
      <c r="Z13" s="5">
        <v>8.0400882539899995E-4</v>
      </c>
      <c r="AA13" s="5">
        <v>0</v>
      </c>
      <c r="AB13" s="5"/>
      <c r="AC13" s="5"/>
      <c r="AD13" s="5"/>
      <c r="AE13">
        <v>0</v>
      </c>
      <c r="AF13" s="1">
        <v>1.86978796604E-5</v>
      </c>
      <c r="AG13" s="1"/>
      <c r="AH13" s="1"/>
      <c r="AI13" s="5"/>
      <c r="AJ13">
        <v>5.4223851015300004E-4</v>
      </c>
      <c r="AK13">
        <v>4.3005123219000001E-4</v>
      </c>
      <c r="AL13">
        <v>0</v>
      </c>
      <c r="AM13">
        <v>0</v>
      </c>
      <c r="AN13">
        <v>0</v>
      </c>
      <c r="AO13">
        <v>9.7228974234299999E-4</v>
      </c>
      <c r="AS13" s="5">
        <v>0</v>
      </c>
      <c r="AT13" s="5">
        <v>5.7963426947399996E-4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</row>
    <row r="14" spans="1:51" x14ac:dyDescent="0.25">
      <c r="B14" s="5"/>
      <c r="C14" t="s">
        <v>43</v>
      </c>
      <c r="D14" s="5">
        <v>2.82939304078E-3</v>
      </c>
      <c r="E14" s="5">
        <v>5.7131974861900003E-3</v>
      </c>
      <c r="F14" s="7">
        <v>2.7205702315199999E-5</v>
      </c>
      <c r="G14" s="5">
        <v>0</v>
      </c>
      <c r="H14" s="5"/>
      <c r="I14" s="5"/>
      <c r="J14" s="5"/>
      <c r="K14" s="5">
        <v>0</v>
      </c>
      <c r="L14" s="5">
        <v>0</v>
      </c>
      <c r="M14" s="5"/>
      <c r="N14" s="5"/>
      <c r="O14" s="5"/>
      <c r="P14" s="5"/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/>
      <c r="W14" s="5"/>
      <c r="X14" s="5"/>
      <c r="Y14" s="5">
        <v>5.16908343989E-4</v>
      </c>
      <c r="Z14" s="5">
        <v>5.9852545093499999E-4</v>
      </c>
      <c r="AA14" s="5">
        <v>1.1154337949199999E-3</v>
      </c>
      <c r="AB14" s="5"/>
      <c r="AC14" s="5"/>
      <c r="AD14" s="5"/>
      <c r="AE14">
        <v>0</v>
      </c>
      <c r="AF14">
        <v>0</v>
      </c>
      <c r="AI14" s="5"/>
      <c r="AJ14">
        <v>1.3874908180799999E-3</v>
      </c>
      <c r="AK14">
        <v>5.4411404630399997E-4</v>
      </c>
      <c r="AL14">
        <v>0</v>
      </c>
      <c r="AM14">
        <v>0</v>
      </c>
      <c r="AN14" s="1">
        <v>5.4411404630399998E-5</v>
      </c>
      <c r="AO14">
        <v>1.19705090187E-3</v>
      </c>
      <c r="AS14" s="5">
        <v>0</v>
      </c>
      <c r="AT14" s="5">
        <v>2.2308675898500001E-3</v>
      </c>
      <c r="AU14" s="5">
        <v>0</v>
      </c>
      <c r="AV14" s="5">
        <v>0</v>
      </c>
      <c r="AW14" s="5">
        <v>0</v>
      </c>
      <c r="AX14" s="5">
        <v>0</v>
      </c>
      <c r="AY14" s="7">
        <v>5.4411404630399998E-5</v>
      </c>
    </row>
    <row r="15" spans="1:51" x14ac:dyDescent="0.25">
      <c r="B15" s="5"/>
      <c r="C15" t="s">
        <v>43</v>
      </c>
      <c r="D15" s="5">
        <v>3.7730853246800001E-3</v>
      </c>
      <c r="E15" s="5">
        <v>6.8621610290999996E-3</v>
      </c>
      <c r="F15" s="5">
        <v>0</v>
      </c>
      <c r="G15" s="7">
        <v>2.20648264601E-5</v>
      </c>
      <c r="H15" s="7"/>
      <c r="I15" s="7"/>
      <c r="J15" s="7"/>
      <c r="K15" s="5">
        <v>0</v>
      </c>
      <c r="L15" s="5">
        <v>0</v>
      </c>
      <c r="M15" s="5"/>
      <c r="N15" s="5"/>
      <c r="O15" s="5"/>
      <c r="P15" s="7"/>
      <c r="Q15" s="5">
        <v>0</v>
      </c>
      <c r="R15" s="5">
        <v>0</v>
      </c>
      <c r="S15" s="5">
        <v>0</v>
      </c>
      <c r="T15" s="5">
        <v>0</v>
      </c>
      <c r="U15" s="7">
        <v>2.20648264601E-5</v>
      </c>
      <c r="V15" s="7"/>
      <c r="W15" s="7"/>
      <c r="X15" s="7"/>
      <c r="Y15" s="5">
        <v>6.1781514088399996E-4</v>
      </c>
      <c r="Z15" s="5">
        <v>6.8400962026399996E-4</v>
      </c>
      <c r="AA15" s="5">
        <v>1.54453785221E-3</v>
      </c>
      <c r="AB15" s="5"/>
      <c r="AC15" s="5"/>
      <c r="AD15" s="5"/>
      <c r="AE15">
        <v>0</v>
      </c>
      <c r="AF15">
        <v>0</v>
      </c>
      <c r="AI15" s="5"/>
      <c r="AJ15">
        <v>1.21356545531E-3</v>
      </c>
      <c r="AK15">
        <v>1.1032413230100001E-3</v>
      </c>
      <c r="AL15">
        <v>0</v>
      </c>
      <c r="AM15">
        <v>0</v>
      </c>
      <c r="AN15">
        <v>0</v>
      </c>
      <c r="AO15">
        <v>1.0370468436300001E-3</v>
      </c>
      <c r="AS15" s="5">
        <v>0</v>
      </c>
      <c r="AT15" s="5">
        <v>1.9637695549500002E-3</v>
      </c>
      <c r="AU15" s="5">
        <v>0</v>
      </c>
      <c r="AV15" s="5">
        <v>0</v>
      </c>
      <c r="AW15" s="5">
        <v>0</v>
      </c>
      <c r="AX15" s="7">
        <v>2.20648264601E-5</v>
      </c>
      <c r="AY15" s="5">
        <v>0</v>
      </c>
    </row>
    <row r="16" spans="1:51" x14ac:dyDescent="0.25">
      <c r="B16" s="5"/>
      <c r="D16" s="5"/>
      <c r="E16" s="5"/>
      <c r="F16" s="5"/>
      <c r="G16" s="7"/>
      <c r="H16" s="7"/>
      <c r="I16" s="7"/>
      <c r="J16" s="7"/>
      <c r="K16" s="5"/>
      <c r="L16" s="5"/>
      <c r="M16" s="5"/>
      <c r="N16" s="5"/>
      <c r="O16" s="5"/>
      <c r="P16" s="7"/>
      <c r="Q16" s="5"/>
      <c r="R16" s="5"/>
      <c r="S16" s="5"/>
      <c r="T16" s="5"/>
      <c r="U16" s="7"/>
      <c r="V16" s="7"/>
      <c r="W16" s="7"/>
      <c r="X16" s="7"/>
      <c r="Y16" s="5"/>
      <c r="Z16" s="5"/>
      <c r="AA16" s="5"/>
      <c r="AB16" s="5"/>
      <c r="AC16" s="5"/>
      <c r="AD16" s="5"/>
      <c r="AI16" s="5"/>
      <c r="AS16" s="5"/>
      <c r="AT16" s="5"/>
      <c r="AU16" s="5"/>
      <c r="AV16" s="5"/>
      <c r="AW16" s="5"/>
      <c r="AX16" s="7"/>
      <c r="AY16" s="5"/>
    </row>
    <row r="17" spans="1:51" x14ac:dyDescent="0.25">
      <c r="A17" s="1">
        <v>3788201.3529645847</v>
      </c>
      <c r="B17" s="5"/>
      <c r="C17" t="s">
        <v>44</v>
      </c>
      <c r="D17" s="5">
        <v>7.4236206110400004E-3</v>
      </c>
      <c r="E17" s="5">
        <v>1.04696762426E-2</v>
      </c>
      <c r="F17" s="5">
        <v>0</v>
      </c>
      <c r="G17" s="5">
        <v>0</v>
      </c>
      <c r="H17" s="5"/>
      <c r="I17" s="5"/>
      <c r="J17" s="5"/>
      <c r="K17" s="5">
        <v>0</v>
      </c>
      <c r="L17" s="5">
        <v>0</v>
      </c>
      <c r="M17" s="5"/>
      <c r="N17" s="5"/>
      <c r="O17" s="5"/>
      <c r="P17" s="5"/>
      <c r="Q17" s="7">
        <v>3.6479708162300001E-5</v>
      </c>
      <c r="R17" s="7">
        <v>3.6479708162300001E-5</v>
      </c>
      <c r="S17" s="5">
        <v>0</v>
      </c>
      <c r="T17" s="7">
        <v>1.8239854081199999E-5</v>
      </c>
      <c r="U17" s="7">
        <v>5.4719562243499997E-5</v>
      </c>
      <c r="V17" s="7"/>
      <c r="W17" s="7"/>
      <c r="X17" s="7"/>
      <c r="Y17" s="5">
        <v>7.6607387140900001E-4</v>
      </c>
      <c r="Z17" s="5">
        <v>7.4783401732799999E-4</v>
      </c>
      <c r="AA17" s="5">
        <v>0</v>
      </c>
      <c r="AB17" s="5"/>
      <c r="AC17" s="5"/>
      <c r="AD17" s="5"/>
      <c r="AE17">
        <v>0</v>
      </c>
      <c r="AF17" s="1">
        <v>3.6479708162300001E-5</v>
      </c>
      <c r="AG17" s="1"/>
      <c r="AH17" s="1"/>
      <c r="AI17" s="5"/>
      <c r="AJ17">
        <v>1.3862289101699999E-3</v>
      </c>
      <c r="AK17">
        <v>8.7551299589599995E-4</v>
      </c>
      <c r="AL17" s="1">
        <v>1.8239854081199999E-5</v>
      </c>
      <c r="AM17" s="1">
        <v>1.8239854081199999E-5</v>
      </c>
      <c r="AN17" s="1">
        <v>3.6479708162300001E-5</v>
      </c>
      <c r="AO17">
        <v>2.0611035111699999E-3</v>
      </c>
      <c r="AS17" s="5">
        <v>0</v>
      </c>
      <c r="AT17" s="5">
        <v>1.22207022344E-3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</row>
    <row r="18" spans="1:51" x14ac:dyDescent="0.25">
      <c r="B18" s="5"/>
      <c r="C18" t="s">
        <v>44</v>
      </c>
      <c r="D18" s="5">
        <v>9.1902161006900008E-3</v>
      </c>
      <c r="E18" s="5">
        <v>9.0952267869900006E-3</v>
      </c>
      <c r="F18" s="5">
        <v>0</v>
      </c>
      <c r="G18" s="5">
        <v>0</v>
      </c>
      <c r="H18" s="5"/>
      <c r="I18" s="5"/>
      <c r="J18" s="5"/>
      <c r="K18" s="5">
        <v>0</v>
      </c>
      <c r="L18" s="5">
        <v>0</v>
      </c>
      <c r="M18" s="5"/>
      <c r="N18" s="5"/>
      <c r="O18" s="5"/>
      <c r="P18" s="5"/>
      <c r="Q18" s="5">
        <v>0</v>
      </c>
      <c r="R18" s="7">
        <v>2.3747328425600001E-5</v>
      </c>
      <c r="S18" s="5">
        <v>0</v>
      </c>
      <c r="T18" s="5">
        <v>0</v>
      </c>
      <c r="U18" s="5">
        <v>0</v>
      </c>
      <c r="V18" s="5"/>
      <c r="W18" s="5"/>
      <c r="X18" s="5"/>
      <c r="Y18" s="5">
        <v>9.0239848017099997E-4</v>
      </c>
      <c r="Z18" s="5">
        <v>1.1636190928499999E-3</v>
      </c>
      <c r="AA18" s="5">
        <v>0</v>
      </c>
      <c r="AB18" s="5"/>
      <c r="AC18" s="5"/>
      <c r="AD18" s="5"/>
      <c r="AE18">
        <v>0</v>
      </c>
      <c r="AF18">
        <v>0</v>
      </c>
      <c r="AI18" s="5"/>
      <c r="AJ18">
        <v>1.40109237711E-3</v>
      </c>
      <c r="AK18">
        <v>7.1241985276699997E-4</v>
      </c>
      <c r="AL18" s="1">
        <v>2.3747328425600001E-5</v>
      </c>
      <c r="AM18" s="1">
        <v>2.3747328425600001E-5</v>
      </c>
      <c r="AN18" s="1">
        <v>4.7494656851099997E-5</v>
      </c>
      <c r="AO18">
        <v>1.80479696034E-3</v>
      </c>
      <c r="AS18" s="5">
        <v>0</v>
      </c>
      <c r="AT18" s="5">
        <v>1.2348610781299999E-3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</row>
    <row r="19" spans="1:51" x14ac:dyDescent="0.25">
      <c r="B19" s="5"/>
      <c r="C19" t="s">
        <v>44</v>
      </c>
      <c r="D19" s="5">
        <v>1.35593220339E-2</v>
      </c>
      <c r="E19" s="5">
        <v>9.2932088089499997E-3</v>
      </c>
      <c r="F19" s="5">
        <v>0</v>
      </c>
      <c r="G19" s="5">
        <v>0</v>
      </c>
      <c r="H19" s="5"/>
      <c r="I19" s="5"/>
      <c r="J19" s="5"/>
      <c r="K19" s="5">
        <v>0</v>
      </c>
      <c r="L19" s="5">
        <v>0</v>
      </c>
      <c r="M19" s="5"/>
      <c r="N19" s="5"/>
      <c r="O19" s="5"/>
      <c r="P19" s="5"/>
      <c r="Q19" s="5">
        <v>0</v>
      </c>
      <c r="R19" s="7">
        <v>4.6120142972399997E-5</v>
      </c>
      <c r="S19" s="5">
        <v>0</v>
      </c>
      <c r="T19" s="5">
        <v>0</v>
      </c>
      <c r="U19" s="7">
        <v>2.3060071486199999E-5</v>
      </c>
      <c r="V19" s="7"/>
      <c r="W19" s="7"/>
      <c r="X19" s="7"/>
      <c r="Y19" s="5">
        <v>1.1068834313400001E-3</v>
      </c>
      <c r="Z19" s="5">
        <v>6.4568200161400002E-4</v>
      </c>
      <c r="AA19" s="5">
        <v>0</v>
      </c>
      <c r="AB19" s="5"/>
      <c r="AC19" s="5"/>
      <c r="AD19" s="5"/>
      <c r="AE19">
        <v>0</v>
      </c>
      <c r="AF19" s="1">
        <v>2.3060071486199999E-5</v>
      </c>
      <c r="AG19" s="1"/>
      <c r="AH19" s="1"/>
      <c r="AI19" s="5"/>
      <c r="AJ19">
        <v>2.1445866482199998E-3</v>
      </c>
      <c r="AK19">
        <v>7.60982359045E-4</v>
      </c>
      <c r="AL19">
        <v>0</v>
      </c>
      <c r="AM19" s="1">
        <v>4.6120142972399997E-5</v>
      </c>
      <c r="AN19" s="1">
        <v>4.6120142972399997E-5</v>
      </c>
      <c r="AO19">
        <v>1.3605442176899999E-3</v>
      </c>
      <c r="AS19" s="5">
        <v>0</v>
      </c>
      <c r="AT19" s="5">
        <v>1.3374841461999999E-3</v>
      </c>
      <c r="AU19" s="5">
        <v>0</v>
      </c>
      <c r="AV19" s="5">
        <v>0</v>
      </c>
      <c r="AW19" s="5">
        <v>0</v>
      </c>
      <c r="AX19" s="7">
        <v>2.3060071486199999E-5</v>
      </c>
      <c r="AY19" s="5">
        <v>0</v>
      </c>
    </row>
    <row r="20" spans="1:51" x14ac:dyDescent="0.25">
      <c r="B20" s="5"/>
      <c r="C20" t="s">
        <v>44</v>
      </c>
      <c r="D20" s="5">
        <v>9.4961999529899997E-3</v>
      </c>
      <c r="E20" s="5">
        <v>1.2269842513500001E-2</v>
      </c>
      <c r="F20" s="5">
        <v>0</v>
      </c>
      <c r="G20" s="5">
        <v>0</v>
      </c>
      <c r="H20" s="5"/>
      <c r="I20" s="5"/>
      <c r="J20" s="5"/>
      <c r="K20" s="5">
        <v>0</v>
      </c>
      <c r="L20" s="5">
        <v>0</v>
      </c>
      <c r="M20" s="5"/>
      <c r="N20" s="5"/>
      <c r="O20" s="5"/>
      <c r="P20" s="5"/>
      <c r="Q20" s="5">
        <v>0</v>
      </c>
      <c r="R20" s="7">
        <v>1.5670296952099999E-5</v>
      </c>
      <c r="S20" s="7">
        <v>1.5670296952099999E-5</v>
      </c>
      <c r="T20" s="5">
        <v>0</v>
      </c>
      <c r="U20" s="7">
        <v>6.2681187808499999E-5</v>
      </c>
      <c r="V20" s="7"/>
      <c r="W20" s="7"/>
      <c r="X20" s="7"/>
      <c r="Y20" s="5">
        <v>1.0969207866500001E-3</v>
      </c>
      <c r="Z20" s="5">
        <v>1.0812504896999999E-3</v>
      </c>
      <c r="AA20" s="5">
        <v>0</v>
      </c>
      <c r="AB20" s="5"/>
      <c r="AC20" s="5"/>
      <c r="AD20" s="5"/>
      <c r="AE20">
        <v>0</v>
      </c>
      <c r="AF20">
        <v>0</v>
      </c>
      <c r="AI20" s="5"/>
      <c r="AJ20">
        <v>1.1909425683600001E-3</v>
      </c>
      <c r="AK20">
        <v>7.3650395674999998E-4</v>
      </c>
      <c r="AL20" s="1">
        <v>3.1340593904300001E-5</v>
      </c>
      <c r="AM20" s="1">
        <v>1.5670296952099999E-5</v>
      </c>
      <c r="AN20" s="1">
        <v>9.40217817128E-5</v>
      </c>
      <c r="AO20">
        <v>2.27219305806E-3</v>
      </c>
      <c r="AS20" s="5">
        <v>0</v>
      </c>
      <c r="AT20" s="5">
        <v>1.1909425683600001E-3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</row>
    <row r="21" spans="1:51" x14ac:dyDescent="0.25">
      <c r="B21" s="5"/>
      <c r="C21" t="s">
        <v>44</v>
      </c>
      <c r="D21" s="5">
        <v>6.3708985277599996E-3</v>
      </c>
      <c r="E21" s="5">
        <v>8.2194493959200001E-3</v>
      </c>
      <c r="F21" s="5">
        <v>0</v>
      </c>
      <c r="G21" s="5">
        <v>0</v>
      </c>
      <c r="H21" s="5"/>
      <c r="I21" s="5"/>
      <c r="J21" s="5"/>
      <c r="K21" s="5">
        <v>0</v>
      </c>
      <c r="L21" s="5">
        <v>0</v>
      </c>
      <c r="M21" s="5"/>
      <c r="N21" s="5"/>
      <c r="O21" s="5"/>
      <c r="P21" s="5"/>
      <c r="Q21" s="5">
        <v>0</v>
      </c>
      <c r="R21" s="5">
        <v>0</v>
      </c>
      <c r="S21" s="5">
        <v>0</v>
      </c>
      <c r="T21" s="5">
        <v>0</v>
      </c>
      <c r="U21" s="7">
        <v>9.9029510794200004E-5</v>
      </c>
      <c r="V21" s="7"/>
      <c r="W21" s="7"/>
      <c r="X21" s="7"/>
      <c r="Y21" s="5">
        <v>7.2621641249100003E-4</v>
      </c>
      <c r="Z21" s="5">
        <v>8.9126559714800002E-4</v>
      </c>
      <c r="AA21" s="5">
        <v>0</v>
      </c>
      <c r="AB21" s="5"/>
      <c r="AC21" s="5"/>
      <c r="AD21" s="5"/>
      <c r="AE21">
        <v>0</v>
      </c>
      <c r="AF21">
        <v>0</v>
      </c>
      <c r="AI21" s="5"/>
      <c r="AJ21">
        <v>1.5514623357799999E-3</v>
      </c>
      <c r="AK21">
        <v>9.9029510794199993E-4</v>
      </c>
      <c r="AL21" s="1">
        <v>3.3009836931399999E-5</v>
      </c>
      <c r="AM21">
        <v>0</v>
      </c>
      <c r="AN21" s="1">
        <v>3.3009836931399999E-5</v>
      </c>
      <c r="AO21">
        <v>1.8815607050900001E-3</v>
      </c>
      <c r="AS21" s="7">
        <v>3.3009836931399999E-5</v>
      </c>
      <c r="AT21" s="5">
        <v>7.2621641249100003E-4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</row>
    <row r="22" spans="1:51" x14ac:dyDescent="0.25">
      <c r="B22" s="5"/>
      <c r="C22" t="s">
        <v>45</v>
      </c>
      <c r="D22" s="5">
        <v>4.3728591210600003E-3</v>
      </c>
      <c r="E22" s="5">
        <v>6.0491217841299998E-3</v>
      </c>
      <c r="F22" s="5">
        <v>0</v>
      </c>
      <c r="G22" s="5">
        <v>0</v>
      </c>
      <c r="H22" s="5"/>
      <c r="I22" s="5"/>
      <c r="J22" s="5"/>
      <c r="K22" s="5">
        <v>0</v>
      </c>
      <c r="L22" s="5">
        <v>0</v>
      </c>
      <c r="M22" s="5"/>
      <c r="N22" s="5"/>
      <c r="O22" s="5"/>
      <c r="P22" s="5"/>
      <c r="Q22" s="7">
        <v>3.6440492675500003E-5</v>
      </c>
      <c r="R22" s="7">
        <v>7.2880985350900002E-5</v>
      </c>
      <c r="S22" s="5">
        <v>0</v>
      </c>
      <c r="T22" s="5">
        <v>0</v>
      </c>
      <c r="U22" s="7">
        <v>3.6440492675500003E-5</v>
      </c>
      <c r="V22" s="7"/>
      <c r="W22" s="7"/>
      <c r="X22" s="7"/>
      <c r="Y22" s="5">
        <v>9.4745280956200001E-4</v>
      </c>
      <c r="Z22" s="5">
        <v>4.3728591210599998E-4</v>
      </c>
      <c r="AA22" s="5">
        <v>0</v>
      </c>
      <c r="AB22" s="5"/>
      <c r="AC22" s="5"/>
      <c r="AD22" s="5"/>
      <c r="AE22">
        <v>0</v>
      </c>
      <c r="AF22">
        <v>0</v>
      </c>
      <c r="AI22" s="5"/>
      <c r="AJ22">
        <v>1.2098243568300001E-2</v>
      </c>
      <c r="AK22">
        <v>1.1733838641500001E-2</v>
      </c>
      <c r="AL22">
        <v>2.5508344872799999E-4</v>
      </c>
      <c r="AM22">
        <v>1.4576197070200001E-4</v>
      </c>
      <c r="AN22" s="1">
        <v>3.6440492675500003E-5</v>
      </c>
      <c r="AO22">
        <v>3.7898112382500002E-3</v>
      </c>
      <c r="AS22" s="7">
        <v>3.6440492675500003E-5</v>
      </c>
      <c r="AT22" s="5">
        <v>1.0567742875899999E-3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</row>
    <row r="23" spans="1:51" x14ac:dyDescent="0.25">
      <c r="B23" s="5"/>
      <c r="C23" t="s">
        <v>45</v>
      </c>
      <c r="D23" s="5">
        <v>5.4871718819499999E-3</v>
      </c>
      <c r="E23" s="5">
        <v>8.9969845271599992E-3</v>
      </c>
      <c r="F23" s="5">
        <v>0</v>
      </c>
      <c r="G23" s="5">
        <v>0</v>
      </c>
      <c r="H23" s="5"/>
      <c r="I23" s="5"/>
      <c r="J23" s="5"/>
      <c r="K23" s="5">
        <v>0</v>
      </c>
      <c r="L23" s="5">
        <v>0</v>
      </c>
      <c r="M23" s="5"/>
      <c r="N23" s="5"/>
      <c r="O23" s="5"/>
      <c r="P23" s="5"/>
      <c r="Q23" s="5">
        <v>0</v>
      </c>
      <c r="R23" s="7">
        <v>7.4150971377699997E-5</v>
      </c>
      <c r="S23" s="7">
        <v>2.47169904592E-5</v>
      </c>
      <c r="T23" s="5">
        <v>0</v>
      </c>
      <c r="U23" s="5">
        <v>0</v>
      </c>
      <c r="V23" s="5"/>
      <c r="W23" s="5"/>
      <c r="X23" s="5"/>
      <c r="Y23" s="5">
        <v>1.01339660883E-3</v>
      </c>
      <c r="Z23" s="5">
        <v>3.4603786642899999E-4</v>
      </c>
      <c r="AA23" s="5">
        <v>0</v>
      </c>
      <c r="AB23" s="5"/>
      <c r="AC23" s="5"/>
      <c r="AD23" s="5"/>
      <c r="AE23">
        <v>0</v>
      </c>
      <c r="AF23" s="1">
        <v>2.47169904592E-5</v>
      </c>
      <c r="AG23" s="1"/>
      <c r="AH23" s="1"/>
      <c r="AI23" s="5"/>
      <c r="AJ23">
        <v>8.6509466607299999E-3</v>
      </c>
      <c r="AK23">
        <v>1.17900044491E-2</v>
      </c>
      <c r="AL23">
        <v>2.22452914133E-4</v>
      </c>
      <c r="AM23" s="1">
        <v>9.8867961836999994E-5</v>
      </c>
      <c r="AN23" s="1">
        <v>7.4150971377699997E-5</v>
      </c>
      <c r="AO23">
        <v>3.70754856889E-3</v>
      </c>
      <c r="AS23" s="7">
        <v>2.47169904592E-5</v>
      </c>
      <c r="AT23" s="5">
        <v>8.4037767561399997E-4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</row>
    <row r="26" spans="1:51" x14ac:dyDescent="0.25">
      <c r="AP26" s="5"/>
    </row>
    <row r="27" spans="1:51" ht="15.75" thickBot="1" x14ac:dyDescent="0.3">
      <c r="C27" s="5"/>
      <c r="D27" s="5"/>
      <c r="E27" s="5"/>
      <c r="F27" s="5"/>
    </row>
    <row r="28" spans="1:51" ht="15.75" thickBot="1" x14ac:dyDescent="0.3">
      <c r="C28" s="12" t="s">
        <v>37</v>
      </c>
      <c r="D28" s="15">
        <f>D3*$A$3</f>
        <v>42258.70293900153</v>
      </c>
      <c r="E28" s="16">
        <f t="shared" ref="E28:AO32" si="0">E3*$A$3</f>
        <v>48990.177743430606</v>
      </c>
      <c r="F28" s="16">
        <f t="shared" si="0"/>
        <v>0</v>
      </c>
      <c r="G28" s="17">
        <f t="shared" si="0"/>
        <v>0</v>
      </c>
      <c r="H28" s="8"/>
      <c r="I28" s="27">
        <f>SUM(D28:G28)</f>
        <v>91248.880682432136</v>
      </c>
      <c r="J28" s="19"/>
      <c r="K28" s="8">
        <f t="shared" ref="K28:L32" si="1">K3*$A$3</f>
        <v>747.94164493761843</v>
      </c>
      <c r="L28" s="8">
        <f t="shared" si="1"/>
        <v>0</v>
      </c>
      <c r="M28" s="8"/>
      <c r="N28" s="27">
        <f>SUM(J28:K28)</f>
        <v>747.94164493761843</v>
      </c>
      <c r="O28" s="8"/>
      <c r="P28" s="8"/>
      <c r="Q28" s="8">
        <f t="shared" si="0"/>
        <v>1121.9124674076136</v>
      </c>
      <c r="R28" s="8">
        <f t="shared" si="0"/>
        <v>373.97082246880922</v>
      </c>
      <c r="S28" s="8">
        <f t="shared" si="0"/>
        <v>373.97082246880922</v>
      </c>
      <c r="T28" s="8">
        <f t="shared" si="0"/>
        <v>373.97082246880922</v>
      </c>
      <c r="U28" s="8">
        <f t="shared" si="0"/>
        <v>1869.8541123440464</v>
      </c>
      <c r="V28" s="8"/>
      <c r="W28" s="27">
        <f>SUM(Q28:U28)</f>
        <v>4113.679047158088</v>
      </c>
      <c r="X28" s="8"/>
      <c r="Y28" s="8">
        <f t="shared" si="0"/>
        <v>1121.9124674076136</v>
      </c>
      <c r="Z28" s="8">
        <f t="shared" si="0"/>
        <v>1121.9124674076136</v>
      </c>
      <c r="AA28" s="8">
        <f t="shared" si="0"/>
        <v>0</v>
      </c>
      <c r="AB28" s="8"/>
      <c r="AC28" s="27">
        <f>SUM(Y28:AA28)</f>
        <v>2243.8249348152272</v>
      </c>
      <c r="AD28" s="8"/>
      <c r="AE28" s="8">
        <f t="shared" si="0"/>
        <v>1869.8541123440464</v>
      </c>
      <c r="AF28" s="8">
        <f t="shared" si="0"/>
        <v>0</v>
      </c>
      <c r="AG28" s="8"/>
      <c r="AH28" s="27">
        <f>SUM(AE28:AF28)</f>
        <v>1869.8541123440464</v>
      </c>
      <c r="AI28" s="8"/>
      <c r="AJ28" s="8">
        <f t="shared" si="0"/>
        <v>296558.86221781553</v>
      </c>
      <c r="AK28" s="8">
        <f t="shared" si="0"/>
        <v>533282.39284057415</v>
      </c>
      <c r="AL28" s="8">
        <f t="shared" si="0"/>
        <v>7853.3872718497378</v>
      </c>
      <c r="AM28" s="8">
        <f t="shared" si="0"/>
        <v>3365.7374022263971</v>
      </c>
      <c r="AN28" s="8">
        <f t="shared" si="0"/>
        <v>2991.7665797528457</v>
      </c>
      <c r="AO28" s="8">
        <f t="shared" si="0"/>
        <v>173148.49080308477</v>
      </c>
      <c r="AP28" s="8"/>
      <c r="AQ28" s="27">
        <f>SUM(AJ28:AO28)</f>
        <v>1017200.6371153034</v>
      </c>
      <c r="AS28" s="8">
        <f t="shared" ref="AS28:AY32" si="2">AS3*$A$3</f>
        <v>0</v>
      </c>
      <c r="AT28" s="8">
        <f t="shared" si="2"/>
        <v>2243.8249348175982</v>
      </c>
      <c r="AU28" s="8">
        <f t="shared" si="2"/>
        <v>747.94164493761843</v>
      </c>
      <c r="AV28" s="8">
        <f t="shared" si="2"/>
        <v>373.97082246880922</v>
      </c>
      <c r="AW28" s="8">
        <f t="shared" si="2"/>
        <v>0</v>
      </c>
      <c r="AX28" s="8">
        <f t="shared" si="2"/>
        <v>0</v>
      </c>
      <c r="AY28" s="8">
        <f t="shared" si="2"/>
        <v>0</v>
      </c>
    </row>
    <row r="29" spans="1:51" ht="15.75" thickBot="1" x14ac:dyDescent="0.3">
      <c r="C29" s="13" t="s">
        <v>38</v>
      </c>
      <c r="D29" s="18">
        <f t="shared" ref="D29:AA32" si="3">D4*$A$3</f>
        <v>37881.730630051927</v>
      </c>
      <c r="E29" s="19">
        <f t="shared" si="3"/>
        <v>61084.290640881663</v>
      </c>
      <c r="F29" s="19">
        <f t="shared" si="3"/>
        <v>0</v>
      </c>
      <c r="G29" s="20">
        <f t="shared" si="3"/>
        <v>0</v>
      </c>
      <c r="H29" s="8"/>
      <c r="I29" s="28">
        <f>SUM(D29:G29)</f>
        <v>98966.02127093359</v>
      </c>
      <c r="J29" s="19"/>
      <c r="K29" s="8">
        <f t="shared" si="1"/>
        <v>0</v>
      </c>
      <c r="L29" s="8">
        <f t="shared" si="1"/>
        <v>236.76081643723168</v>
      </c>
      <c r="M29" s="8"/>
      <c r="N29" s="28">
        <f t="shared" ref="N29:N54" si="4">SUM(J29:K29)</f>
        <v>0</v>
      </c>
      <c r="O29" s="8"/>
      <c r="P29" s="8"/>
      <c r="Q29" s="8">
        <f t="shared" si="3"/>
        <v>710.28244931288077</v>
      </c>
      <c r="R29" s="8">
        <f t="shared" si="3"/>
        <v>1657.3257150677359</v>
      </c>
      <c r="S29" s="8">
        <f t="shared" si="3"/>
        <v>0</v>
      </c>
      <c r="T29" s="8">
        <f t="shared" si="3"/>
        <v>947.04326575129801</v>
      </c>
      <c r="U29" s="8">
        <f t="shared" si="3"/>
        <v>1657.3257150677359</v>
      </c>
      <c r="V29" s="8"/>
      <c r="W29" s="28">
        <f t="shared" ref="W29:W32" si="5">SUM(Q29:U29)</f>
        <v>4971.9771451996503</v>
      </c>
      <c r="X29" s="8"/>
      <c r="Y29" s="8">
        <f t="shared" si="3"/>
        <v>710.28244931288077</v>
      </c>
      <c r="Z29" s="8">
        <f t="shared" si="3"/>
        <v>1657.3257150677359</v>
      </c>
      <c r="AA29" s="8">
        <f t="shared" si="3"/>
        <v>0</v>
      </c>
      <c r="AB29" s="8"/>
      <c r="AC29" s="27">
        <f t="shared" ref="AC29:AC32" si="6">SUM(Y29:AA29)</f>
        <v>2367.6081643806165</v>
      </c>
      <c r="AD29" s="8"/>
      <c r="AE29" s="8">
        <f t="shared" si="0"/>
        <v>1183.8040821885297</v>
      </c>
      <c r="AF29" s="8">
        <f t="shared" si="0"/>
        <v>0</v>
      </c>
      <c r="AG29" s="8"/>
      <c r="AH29" s="28">
        <f t="shared" ref="AH29:AH32" si="7">SUM(AE29:AF29)</f>
        <v>1183.8040821885297</v>
      </c>
      <c r="AI29" s="8"/>
      <c r="AJ29" s="8">
        <f t="shared" si="0"/>
        <v>307315.53973598202</v>
      </c>
      <c r="AK29" s="8">
        <f t="shared" si="0"/>
        <v>496250.67125334818</v>
      </c>
      <c r="AL29" s="8">
        <f t="shared" si="0"/>
        <v>6629.3028602590875</v>
      </c>
      <c r="AM29" s="8">
        <f t="shared" si="0"/>
        <v>2604.3689808190343</v>
      </c>
      <c r="AN29" s="8">
        <f t="shared" si="0"/>
        <v>5208.7379616262115</v>
      </c>
      <c r="AO29" s="8">
        <f t="shared" si="0"/>
        <v>188935.13151736619</v>
      </c>
      <c r="AP29" s="8"/>
      <c r="AQ29" s="28">
        <f t="shared" ref="AQ29:AQ32" si="8">SUM(AJ29:AO29)</f>
        <v>1006943.7523094007</v>
      </c>
      <c r="AS29" s="8">
        <f t="shared" si="2"/>
        <v>0</v>
      </c>
      <c r="AT29" s="8">
        <f t="shared" si="2"/>
        <v>947.04326575129801</v>
      </c>
      <c r="AU29" s="8">
        <f t="shared" si="2"/>
        <v>236.76081643723168</v>
      </c>
      <c r="AV29" s="8">
        <f t="shared" si="2"/>
        <v>236.76081643723168</v>
      </c>
      <c r="AW29" s="8">
        <f t="shared" si="2"/>
        <v>0</v>
      </c>
      <c r="AX29" s="8">
        <f t="shared" si="2"/>
        <v>0</v>
      </c>
      <c r="AY29" s="8">
        <f t="shared" si="2"/>
        <v>0</v>
      </c>
    </row>
    <row r="30" spans="1:51" ht="15.75" thickBot="1" x14ac:dyDescent="0.3">
      <c r="C30" s="13" t="s">
        <v>39</v>
      </c>
      <c r="D30" s="18">
        <f t="shared" si="3"/>
        <v>49886.677220769743</v>
      </c>
      <c r="E30" s="19">
        <f t="shared" si="0"/>
        <v>64361.568020545405</v>
      </c>
      <c r="F30" s="19">
        <f t="shared" si="0"/>
        <v>0</v>
      </c>
      <c r="G30" s="20">
        <f t="shared" si="0"/>
        <v>0</v>
      </c>
      <c r="H30" s="8"/>
      <c r="I30" s="28">
        <f>SUM(D30:G30)</f>
        <v>114248.24524131515</v>
      </c>
      <c r="J30" s="19"/>
      <c r="K30" s="8">
        <f t="shared" si="1"/>
        <v>0</v>
      </c>
      <c r="L30" s="8">
        <f t="shared" si="1"/>
        <v>0</v>
      </c>
      <c r="M30" s="8"/>
      <c r="N30" s="28">
        <f t="shared" si="4"/>
        <v>0</v>
      </c>
      <c r="O30" s="8"/>
      <c r="P30" s="8"/>
      <c r="Q30" s="8">
        <f t="shared" si="0"/>
        <v>0</v>
      </c>
      <c r="R30" s="8">
        <f t="shared" si="0"/>
        <v>1292.4009642648373</v>
      </c>
      <c r="S30" s="8">
        <f t="shared" si="0"/>
        <v>0</v>
      </c>
      <c r="T30" s="8">
        <f t="shared" si="0"/>
        <v>775.44057856008794</v>
      </c>
      <c r="U30" s="8">
        <f t="shared" si="0"/>
        <v>516.96038570712062</v>
      </c>
      <c r="V30" s="8"/>
      <c r="W30" s="28">
        <f t="shared" si="5"/>
        <v>2584.8019285320461</v>
      </c>
      <c r="X30" s="8"/>
      <c r="Y30" s="8">
        <f t="shared" si="0"/>
        <v>2326.3217356790783</v>
      </c>
      <c r="Z30" s="8">
        <f t="shared" si="0"/>
        <v>1033.9207714142412</v>
      </c>
      <c r="AA30" s="8">
        <f t="shared" si="0"/>
        <v>258.48019285296743</v>
      </c>
      <c r="AB30" s="8"/>
      <c r="AC30" s="27">
        <f t="shared" si="6"/>
        <v>3618.7226999462869</v>
      </c>
      <c r="AD30" s="8"/>
      <c r="AE30" s="8">
        <f t="shared" si="0"/>
        <v>1292.4009642648373</v>
      </c>
      <c r="AF30" s="8">
        <f t="shared" si="0"/>
        <v>0</v>
      </c>
      <c r="AG30" s="8"/>
      <c r="AH30" s="28">
        <f t="shared" si="7"/>
        <v>1292.4009642648373</v>
      </c>
      <c r="AI30" s="8"/>
      <c r="AJ30" s="8">
        <f t="shared" si="0"/>
        <v>396767.09603034845</v>
      </c>
      <c r="AK30" s="8">
        <f t="shared" si="0"/>
        <v>502227.01471452991</v>
      </c>
      <c r="AL30" s="8">
        <f t="shared" si="0"/>
        <v>8271.36617131393</v>
      </c>
      <c r="AM30" s="8">
        <f t="shared" si="0"/>
        <v>3618.7226999439154</v>
      </c>
      <c r="AN30" s="8">
        <f t="shared" si="0"/>
        <v>2843.2821213921275</v>
      </c>
      <c r="AO30" s="8">
        <f t="shared" si="0"/>
        <v>173440.20940425579</v>
      </c>
      <c r="AP30" s="8"/>
      <c r="AQ30" s="28">
        <f t="shared" si="8"/>
        <v>1087167.6911417842</v>
      </c>
      <c r="AS30" s="8">
        <f t="shared" si="2"/>
        <v>0</v>
      </c>
      <c r="AT30" s="8">
        <f t="shared" si="2"/>
        <v>0</v>
      </c>
      <c r="AU30" s="8">
        <f t="shared" si="2"/>
        <v>1292.4009642648373</v>
      </c>
      <c r="AV30" s="8">
        <f t="shared" si="2"/>
        <v>0</v>
      </c>
      <c r="AW30" s="8">
        <f t="shared" si="2"/>
        <v>0</v>
      </c>
      <c r="AX30" s="8">
        <f t="shared" si="2"/>
        <v>0</v>
      </c>
      <c r="AY30" s="8">
        <f t="shared" si="2"/>
        <v>0</v>
      </c>
    </row>
    <row r="31" spans="1:51" ht="15.75" thickBot="1" x14ac:dyDescent="0.3">
      <c r="C31" s="13" t="s">
        <v>40</v>
      </c>
      <c r="D31" s="18">
        <f t="shared" si="3"/>
        <v>41005.262675796243</v>
      </c>
      <c r="E31" s="19">
        <f t="shared" si="0"/>
        <v>47961.512593993684</v>
      </c>
      <c r="F31" s="19">
        <f t="shared" si="0"/>
        <v>0</v>
      </c>
      <c r="G31" s="20">
        <f t="shared" si="0"/>
        <v>0</v>
      </c>
      <c r="H31" s="8"/>
      <c r="I31" s="28">
        <f>SUM(D31:G31)</f>
        <v>88966.775269789927</v>
      </c>
      <c r="J31" s="19"/>
      <c r="K31" s="8">
        <f t="shared" si="1"/>
        <v>732.23683349627686</v>
      </c>
      <c r="L31" s="8">
        <f t="shared" si="1"/>
        <v>0</v>
      </c>
      <c r="M31" s="8"/>
      <c r="N31" s="28">
        <f t="shared" si="4"/>
        <v>732.23683349627686</v>
      </c>
      <c r="O31" s="8"/>
      <c r="P31" s="8"/>
      <c r="Q31" s="8">
        <f t="shared" si="0"/>
        <v>0</v>
      </c>
      <c r="R31" s="8">
        <f t="shared" si="0"/>
        <v>2562.8289172387476</v>
      </c>
      <c r="S31" s="8">
        <f t="shared" si="0"/>
        <v>366.11841674754561</v>
      </c>
      <c r="T31" s="8">
        <f t="shared" si="0"/>
        <v>0</v>
      </c>
      <c r="U31" s="8">
        <f t="shared" si="0"/>
        <v>732.23683349627686</v>
      </c>
      <c r="V31" s="8"/>
      <c r="W31" s="28">
        <f t="shared" si="5"/>
        <v>3661.18416748257</v>
      </c>
      <c r="X31" s="8"/>
      <c r="Y31" s="8">
        <f t="shared" si="0"/>
        <v>2562.8289172387476</v>
      </c>
      <c r="Z31" s="8">
        <f t="shared" si="0"/>
        <v>3661.1841674754555</v>
      </c>
      <c r="AA31" s="8">
        <f t="shared" si="0"/>
        <v>0</v>
      </c>
      <c r="AB31" s="8"/>
      <c r="AC31" s="27">
        <f t="shared" si="6"/>
        <v>6224.0130847142027</v>
      </c>
      <c r="AD31" s="8"/>
      <c r="AE31" s="8">
        <f t="shared" si="0"/>
        <v>366.11841674754561</v>
      </c>
      <c r="AF31" s="8">
        <f t="shared" si="0"/>
        <v>0</v>
      </c>
      <c r="AG31" s="8"/>
      <c r="AH31" s="28">
        <f t="shared" si="7"/>
        <v>366.11841674754561</v>
      </c>
      <c r="AI31" s="8"/>
      <c r="AJ31" s="8">
        <f t="shared" si="0"/>
        <v>311566.77265210793</v>
      </c>
      <c r="AK31" s="8">
        <f t="shared" si="0"/>
        <v>558696.7039577387</v>
      </c>
      <c r="AL31" s="8">
        <f t="shared" si="0"/>
        <v>5857.8946679725859</v>
      </c>
      <c r="AM31" s="8">
        <f t="shared" si="0"/>
        <v>2196.7105004852733</v>
      </c>
      <c r="AN31" s="8">
        <f t="shared" si="0"/>
        <v>2562.8289172387476</v>
      </c>
      <c r="AO31" s="8">
        <f t="shared" si="0"/>
        <v>180862.49787360764</v>
      </c>
      <c r="AP31" s="8"/>
      <c r="AQ31" s="28">
        <f t="shared" si="8"/>
        <v>1061743.4085691508</v>
      </c>
      <c r="AS31" s="8">
        <f t="shared" si="2"/>
        <v>0</v>
      </c>
      <c r="AT31" s="8">
        <f t="shared" si="2"/>
        <v>1830.5920837436563</v>
      </c>
      <c r="AU31" s="8">
        <f t="shared" si="2"/>
        <v>732.23683349627686</v>
      </c>
      <c r="AV31" s="8">
        <f t="shared" si="2"/>
        <v>0</v>
      </c>
      <c r="AW31" s="8">
        <f t="shared" si="2"/>
        <v>0</v>
      </c>
      <c r="AX31" s="8">
        <f t="shared" si="2"/>
        <v>0</v>
      </c>
      <c r="AY31" s="8">
        <f t="shared" si="2"/>
        <v>0</v>
      </c>
    </row>
    <row r="32" spans="1:51" ht="15.75" thickBot="1" x14ac:dyDescent="0.3">
      <c r="C32" s="14" t="s">
        <v>41</v>
      </c>
      <c r="D32" s="21">
        <f t="shared" si="3"/>
        <v>48723.90285808756</v>
      </c>
      <c r="E32" s="22">
        <f t="shared" si="0"/>
        <v>70407.315124660279</v>
      </c>
      <c r="F32" s="22">
        <f t="shared" si="0"/>
        <v>0</v>
      </c>
      <c r="G32" s="23">
        <f t="shared" si="0"/>
        <v>0</v>
      </c>
      <c r="H32" s="8"/>
      <c r="I32" s="29">
        <f>SUM(D32:G32)</f>
        <v>119131.21798274784</v>
      </c>
      <c r="J32" s="19"/>
      <c r="K32" s="8">
        <f t="shared" si="1"/>
        <v>0</v>
      </c>
      <c r="L32" s="8">
        <f t="shared" si="1"/>
        <v>0</v>
      </c>
      <c r="M32" s="8"/>
      <c r="N32" s="29">
        <f t="shared" si="4"/>
        <v>0</v>
      </c>
      <c r="O32" s="8"/>
      <c r="P32" s="8"/>
      <c r="Q32" s="8">
        <f t="shared" si="0"/>
        <v>510.19793568692353</v>
      </c>
      <c r="R32" s="8">
        <f t="shared" si="0"/>
        <v>1530.5938070619563</v>
      </c>
      <c r="S32" s="8">
        <f t="shared" si="0"/>
        <v>510.19793568692353</v>
      </c>
      <c r="T32" s="8">
        <f t="shared" si="0"/>
        <v>255.09896784286894</v>
      </c>
      <c r="U32" s="8">
        <f t="shared" si="0"/>
        <v>0</v>
      </c>
      <c r="V32" s="8"/>
      <c r="W32" s="29">
        <f t="shared" si="5"/>
        <v>2806.0886462786725</v>
      </c>
      <c r="X32" s="8"/>
      <c r="Y32" s="8">
        <f t="shared" si="0"/>
        <v>1530.5938070619563</v>
      </c>
      <c r="Z32" s="8">
        <f t="shared" si="0"/>
        <v>1785.6927748977112</v>
      </c>
      <c r="AA32" s="8">
        <f t="shared" si="0"/>
        <v>0</v>
      </c>
      <c r="AB32" s="8"/>
      <c r="AC32" s="27">
        <f t="shared" si="6"/>
        <v>3316.2865819596673</v>
      </c>
      <c r="AD32" s="8"/>
      <c r="AE32" s="8">
        <f t="shared" si="0"/>
        <v>1275.4948392143447</v>
      </c>
      <c r="AF32" s="8">
        <f t="shared" si="0"/>
        <v>510.19793568692353</v>
      </c>
      <c r="AG32" s="8"/>
      <c r="AH32" s="29">
        <f t="shared" si="7"/>
        <v>1785.6927749012682</v>
      </c>
      <c r="AI32" s="8"/>
      <c r="AJ32" s="8">
        <f t="shared" si="0"/>
        <v>387750.4311217299</v>
      </c>
      <c r="AK32" s="8">
        <f t="shared" si="0"/>
        <v>556881.0468012105</v>
      </c>
      <c r="AL32" s="8">
        <f t="shared" si="0"/>
        <v>3571.3855498072794</v>
      </c>
      <c r="AM32" s="8">
        <f t="shared" si="0"/>
        <v>3826.484517643034</v>
      </c>
      <c r="AN32" s="8">
        <f t="shared" si="0"/>
        <v>2806.088646276301</v>
      </c>
      <c r="AO32" s="8">
        <f t="shared" si="0"/>
        <v>184436.55375057447</v>
      </c>
      <c r="AP32" s="8"/>
      <c r="AQ32" s="29">
        <f t="shared" si="8"/>
        <v>1139271.9903872414</v>
      </c>
      <c r="AS32" s="8">
        <f t="shared" si="2"/>
        <v>0</v>
      </c>
      <c r="AT32" s="8">
        <f t="shared" si="2"/>
        <v>2295.8907105929343</v>
      </c>
      <c r="AU32" s="8">
        <f t="shared" si="2"/>
        <v>255.09896784286894</v>
      </c>
      <c r="AV32" s="8">
        <f t="shared" si="2"/>
        <v>0</v>
      </c>
      <c r="AW32" s="8">
        <f t="shared" si="2"/>
        <v>0</v>
      </c>
      <c r="AX32" s="8">
        <f t="shared" si="2"/>
        <v>0</v>
      </c>
      <c r="AY32" s="8">
        <f t="shared" si="2"/>
        <v>0</v>
      </c>
    </row>
    <row r="33" spans="3:51" ht="15.75" thickBot="1" x14ac:dyDescent="0.3">
      <c r="D33" s="11"/>
      <c r="E33" s="11"/>
      <c r="F33" s="11"/>
      <c r="G33" s="11"/>
      <c r="H33" s="8"/>
      <c r="I33" s="11"/>
      <c r="J33" s="11"/>
      <c r="K33" s="8"/>
      <c r="L33" s="8"/>
      <c r="M33" s="8"/>
      <c r="N33" s="11"/>
      <c r="O33" s="8"/>
      <c r="P33" s="8"/>
      <c r="Q33" s="8"/>
      <c r="R33" s="8"/>
      <c r="S33" s="8"/>
      <c r="T33" s="8"/>
      <c r="U33" s="8"/>
      <c r="V33" s="8"/>
      <c r="W33" s="11"/>
      <c r="X33" s="8"/>
      <c r="Y33" s="8"/>
      <c r="Z33" s="8"/>
      <c r="AA33" s="8"/>
      <c r="AB33" s="8"/>
      <c r="AC33" s="11"/>
      <c r="AD33" s="8"/>
      <c r="AE33" s="8"/>
      <c r="AF33" s="8"/>
      <c r="AG33" s="8"/>
      <c r="AH33" s="11"/>
      <c r="AI33" s="8"/>
      <c r="AJ33" s="8"/>
      <c r="AK33" s="8"/>
      <c r="AL33" s="8"/>
      <c r="AM33" s="8"/>
      <c r="AN33" s="8"/>
      <c r="AO33" s="8"/>
      <c r="AP33" s="8"/>
      <c r="AQ33" s="11"/>
      <c r="AS33" s="8"/>
      <c r="AT33" s="8"/>
      <c r="AU33" s="8"/>
      <c r="AV33" s="8"/>
      <c r="AW33" s="8"/>
      <c r="AX33" s="8"/>
      <c r="AY33" s="8"/>
    </row>
    <row r="34" spans="3:51" ht="15.75" thickBot="1" x14ac:dyDescent="0.3">
      <c r="D34" s="24">
        <f>AVERAGE(D26:D32)</f>
        <v>43951.255264741405</v>
      </c>
      <c r="E34" s="25">
        <f t="shared" ref="E34:G34" si="9">AVERAGE(E26:E32)</f>
        <v>58560.97282470233</v>
      </c>
      <c r="F34" s="25">
        <f t="shared" si="9"/>
        <v>0</v>
      </c>
      <c r="G34" s="26">
        <f t="shared" si="9"/>
        <v>0</v>
      </c>
      <c r="H34" s="8"/>
      <c r="I34" s="30">
        <f>AVERAGE(I28:I32)</f>
        <v>102512.22808944373</v>
      </c>
      <c r="J34" s="69"/>
      <c r="K34" s="8"/>
      <c r="L34" s="8"/>
      <c r="M34" s="8"/>
      <c r="N34" s="30">
        <f>AVERAGE(N28:N29,N31)</f>
        <v>493.39282614463173</v>
      </c>
      <c r="O34" s="8"/>
      <c r="P34" s="8"/>
      <c r="Q34" s="24">
        <f>AVERAGE(Q26:Q32)</f>
        <v>468.47857048148364</v>
      </c>
      <c r="R34" s="25">
        <f t="shared" ref="R34:T34" si="10">AVERAGE(R26:R32)</f>
        <v>1483.4240452204172</v>
      </c>
      <c r="S34" s="25">
        <f t="shared" si="10"/>
        <v>250.05743498065567</v>
      </c>
      <c r="T34" s="25">
        <f t="shared" si="10"/>
        <v>470.31072692461282</v>
      </c>
      <c r="U34" s="26">
        <f>AVERAGE(U26:U32)</f>
        <v>955.275409323036</v>
      </c>
      <c r="V34" s="8"/>
      <c r="W34" s="30">
        <f>AVERAGE(W28:W29,W31)</f>
        <v>4248.9467866134364</v>
      </c>
      <c r="X34" s="8"/>
      <c r="Y34" s="24">
        <f>AVERAGE(Y26:Y32)</f>
        <v>1650.3878753400554</v>
      </c>
      <c r="Z34" s="25">
        <f t="shared" ref="Z34:AA34" si="11">AVERAGE(Z26:Z32)</f>
        <v>1852.0071792525512</v>
      </c>
      <c r="AA34" s="26">
        <f t="shared" si="11"/>
        <v>51.696038570593487</v>
      </c>
      <c r="AB34" s="8"/>
      <c r="AC34" s="30">
        <f>AVERAGE(AC28:AC32)</f>
        <v>3554.0910931632002</v>
      </c>
      <c r="AD34" s="8"/>
      <c r="AE34" s="24">
        <f>AVERAGE(AE26:AE32)</f>
        <v>1197.5344829518606</v>
      </c>
      <c r="AF34" s="26">
        <f t="shared" ref="AF34" si="12">AVERAGE(AF26:AF32)</f>
        <v>102.0395871373847</v>
      </c>
      <c r="AG34" s="8"/>
      <c r="AH34" s="30">
        <f>AVERAGE(AH28:AH32)</f>
        <v>1299.5740700892454</v>
      </c>
      <c r="AI34" s="8"/>
      <c r="AJ34" s="24">
        <f>AVERAGE(AJ26:AJ32)</f>
        <v>339991.74035159673</v>
      </c>
      <c r="AK34" s="25">
        <f t="shared" ref="AK34:AO34" si="13">AVERAGE(AK26:AK32)</f>
        <v>529467.56591348024</v>
      </c>
      <c r="AL34" s="25">
        <f t="shared" si="13"/>
        <v>6436.6673042405246</v>
      </c>
      <c r="AM34" s="25">
        <f t="shared" si="13"/>
        <v>3122.4048202235308</v>
      </c>
      <c r="AN34" s="25">
        <f t="shared" si="13"/>
        <v>3282.5408452572469</v>
      </c>
      <c r="AO34" s="26">
        <f t="shared" si="13"/>
        <v>180164.5766697778</v>
      </c>
      <c r="AP34" s="8"/>
      <c r="AQ34" s="30">
        <f>AVERAGE(AQ28:AQ32)</f>
        <v>1062465.495904576</v>
      </c>
      <c r="AS34" s="8"/>
      <c r="AT34" s="8"/>
      <c r="AU34" s="8"/>
      <c r="AV34" s="8"/>
      <c r="AW34" s="8"/>
      <c r="AX34" s="8"/>
      <c r="AY34" s="8"/>
    </row>
    <row r="35" spans="3:51" ht="15.75" thickBot="1" x14ac:dyDescent="0.3">
      <c r="D35" s="19"/>
      <c r="E35" s="19"/>
      <c r="F35" s="19"/>
      <c r="G35" s="19"/>
      <c r="H35" s="8"/>
      <c r="I35" s="31">
        <f>STDEV(I28:I32)/SQRT(4)</f>
        <v>6786.2120940317409</v>
      </c>
      <c r="J35" s="69"/>
      <c r="K35" s="8"/>
      <c r="L35" s="8"/>
      <c r="M35" s="8"/>
      <c r="N35" s="31">
        <f>STDEV(N28:N29,N31)/SQRT(3)</f>
        <v>246.73806688054319</v>
      </c>
      <c r="O35" s="8"/>
      <c r="P35" s="8"/>
      <c r="Q35" s="8"/>
      <c r="R35" s="8"/>
      <c r="S35" s="8"/>
      <c r="T35" s="8"/>
      <c r="U35" s="8"/>
      <c r="V35" s="8"/>
      <c r="W35" s="31">
        <f>STDEV(W28:W29,W31)/SQRT(3)</f>
        <v>384.39024381094657</v>
      </c>
      <c r="X35" s="8"/>
      <c r="Y35" s="8"/>
      <c r="Z35" s="8"/>
      <c r="AA35" s="8"/>
      <c r="AB35" s="8"/>
      <c r="AC35" s="31">
        <f>STDEV(AC28:AC32)/SQRT(6)</f>
        <v>655.54528247852033</v>
      </c>
      <c r="AD35" s="8"/>
      <c r="AE35" s="8"/>
      <c r="AF35" s="8"/>
      <c r="AG35" s="8"/>
      <c r="AH35" s="31">
        <f>STDEV(AH28:AH32)/SQRT(6)</f>
        <v>245.48627949299728</v>
      </c>
      <c r="AI35" s="8"/>
      <c r="AJ35" s="8"/>
      <c r="AK35" s="8"/>
      <c r="AL35" s="8"/>
      <c r="AM35" s="8"/>
      <c r="AN35" s="8"/>
      <c r="AO35" s="8"/>
      <c r="AP35" s="8"/>
      <c r="AQ35" s="31">
        <f>STDEV(AQ28:AQ32)/SQRT(6)</f>
        <v>22024.161833686594</v>
      </c>
      <c r="AS35" s="8"/>
      <c r="AT35" s="8"/>
      <c r="AU35" s="8"/>
      <c r="AV35" s="8"/>
      <c r="AW35" s="8"/>
      <c r="AX35" s="8"/>
      <c r="AY35" s="8"/>
    </row>
    <row r="36" spans="3:51" ht="15.75" thickBot="1" x14ac:dyDescent="0.3">
      <c r="D36" s="11"/>
      <c r="E36" s="11"/>
      <c r="F36" s="11"/>
      <c r="G36" s="11"/>
      <c r="H36" s="9"/>
      <c r="I36" s="11"/>
      <c r="J36" s="11"/>
      <c r="K36" s="9"/>
      <c r="L36" s="9"/>
      <c r="M36" s="9"/>
      <c r="N36" s="11"/>
      <c r="O36" s="9"/>
      <c r="P36" s="9"/>
      <c r="Q36" s="9"/>
      <c r="R36" s="9"/>
      <c r="S36" s="9"/>
      <c r="T36" s="9"/>
      <c r="U36" s="9"/>
      <c r="V36" s="9"/>
      <c r="W36" s="11"/>
      <c r="X36" s="9"/>
      <c r="Y36" s="9"/>
      <c r="Z36" s="9"/>
      <c r="AA36" s="9"/>
      <c r="AB36" s="9"/>
      <c r="AC36" s="11"/>
      <c r="AD36" s="9"/>
      <c r="AE36" s="9"/>
      <c r="AF36" s="9"/>
      <c r="AG36" s="9"/>
      <c r="AH36" s="11"/>
      <c r="AI36" s="9"/>
      <c r="AJ36" s="9"/>
      <c r="AK36" s="9"/>
      <c r="AL36" s="9"/>
      <c r="AM36" s="9"/>
      <c r="AN36" s="9"/>
      <c r="AO36" s="9"/>
      <c r="AP36" s="9"/>
      <c r="AQ36" s="11"/>
      <c r="AS36" s="9"/>
      <c r="AT36" s="9"/>
      <c r="AU36" s="9"/>
      <c r="AV36" s="9"/>
      <c r="AW36" s="9"/>
      <c r="AX36" s="9"/>
      <c r="AY36" s="9"/>
    </row>
    <row r="37" spans="3:51" ht="15.75" thickBot="1" x14ac:dyDescent="0.3">
      <c r="C37" s="12" t="s">
        <v>42</v>
      </c>
      <c r="D37" s="15">
        <f t="shared" ref="D37:G43" si="14">D9*$A$9</f>
        <v>25346.986274928549</v>
      </c>
      <c r="E37" s="16">
        <f t="shared" si="14"/>
        <v>28111.547277966598</v>
      </c>
      <c r="F37" s="16">
        <f t="shared" si="14"/>
        <v>0</v>
      </c>
      <c r="G37" s="17">
        <f t="shared" si="14"/>
        <v>10.354161060031085</v>
      </c>
      <c r="H37" s="8"/>
      <c r="I37" s="27">
        <f t="shared" ref="I37:I43" si="15">SUM(D37:G37)</f>
        <v>53468.887713955177</v>
      </c>
      <c r="J37" s="19"/>
      <c r="K37" s="8">
        <f t="shared" ref="K37:L43" si="16">K9*$A$9</f>
        <v>0</v>
      </c>
      <c r="L37" s="8">
        <f t="shared" si="16"/>
        <v>0</v>
      </c>
      <c r="M37" s="8"/>
      <c r="N37" s="27">
        <f t="shared" si="4"/>
        <v>0</v>
      </c>
      <c r="O37" s="8"/>
      <c r="P37" s="8"/>
      <c r="Q37" s="8">
        <f t="shared" ref="Q37:U43" si="17">Q9*$A$9</f>
        <v>0</v>
      </c>
      <c r="R37" s="8">
        <f t="shared" si="17"/>
        <v>20.708322120062171</v>
      </c>
      <c r="S37" s="8">
        <f t="shared" si="17"/>
        <v>41.416644240279105</v>
      </c>
      <c r="T37" s="8">
        <f t="shared" si="17"/>
        <v>0</v>
      </c>
      <c r="U37" s="8">
        <f t="shared" si="17"/>
        <v>0</v>
      </c>
      <c r="V37" s="8"/>
      <c r="W37" s="27">
        <f>SUM(Q37:U37)</f>
        <v>62.124966360341276</v>
      </c>
      <c r="X37" s="8"/>
      <c r="Y37" s="8">
        <f t="shared" ref="Y37:AA43" si="18">Y9*$A$9</f>
        <v>3675.7271763102617</v>
      </c>
      <c r="Z37" s="8">
        <f t="shared" si="18"/>
        <v>5301.3304627154866</v>
      </c>
      <c r="AA37" s="8">
        <f t="shared" si="18"/>
        <v>0</v>
      </c>
      <c r="AB37" s="8"/>
      <c r="AC37" s="27">
        <f>SUM(Y37:AA37)</f>
        <v>8977.0576390257484</v>
      </c>
      <c r="AD37" s="8"/>
      <c r="AE37" s="8">
        <f t="shared" ref="AE37:AF43" si="19">AE9*$A$9</f>
        <v>0</v>
      </c>
      <c r="AF37" s="8">
        <f t="shared" si="19"/>
        <v>41.416644240279105</v>
      </c>
      <c r="AG37" s="8"/>
      <c r="AH37" s="27">
        <f>SUM(AE37:AF37)</f>
        <v>41.416644240279105</v>
      </c>
      <c r="AI37" s="8"/>
      <c r="AJ37" s="8">
        <f t="shared" ref="AJ37:AO43" si="20">AJ9*$A$9</f>
        <v>2236.4987889665599</v>
      </c>
      <c r="AK37" s="8">
        <f t="shared" si="20"/>
        <v>1449.5825484020304</v>
      </c>
      <c r="AL37" s="8">
        <f t="shared" si="20"/>
        <v>0</v>
      </c>
      <c r="AM37" s="8">
        <f t="shared" si="20"/>
        <v>41.416644240279105</v>
      </c>
      <c r="AN37" s="8">
        <f t="shared" si="20"/>
        <v>20.708322120062171</v>
      </c>
      <c r="AO37" s="8">
        <f t="shared" si="20"/>
        <v>3064.831673768273</v>
      </c>
      <c r="AP37" s="8"/>
      <c r="AQ37" s="27">
        <f>SUM(AJ37:AO37)</f>
        <v>6813.0379774972052</v>
      </c>
      <c r="AS37" s="8">
        <f t="shared" ref="AS37:AY43" si="21">AS9*$A$9</f>
        <v>10.354161060031085</v>
      </c>
      <c r="AT37" s="8">
        <f t="shared" si="21"/>
        <v>2112.2488562472699</v>
      </c>
      <c r="AU37" s="8">
        <f t="shared" si="21"/>
        <v>0</v>
      </c>
      <c r="AV37" s="8">
        <f t="shared" si="21"/>
        <v>0</v>
      </c>
      <c r="AW37" s="8">
        <f t="shared" si="21"/>
        <v>0</v>
      </c>
      <c r="AX37" s="8">
        <f t="shared" si="21"/>
        <v>0</v>
      </c>
      <c r="AY37" s="8">
        <f t="shared" si="21"/>
        <v>0</v>
      </c>
    </row>
    <row r="38" spans="3:51" ht="15.75" thickBot="1" x14ac:dyDescent="0.3">
      <c r="C38" s="13" t="s">
        <v>42</v>
      </c>
      <c r="D38" s="18">
        <f t="shared" si="14"/>
        <v>23042.266183696713</v>
      </c>
      <c r="E38" s="19">
        <f t="shared" si="14"/>
        <v>27905.082099082229</v>
      </c>
      <c r="F38" s="19">
        <f t="shared" si="14"/>
        <v>0</v>
      </c>
      <c r="G38" s="20">
        <f t="shared" si="14"/>
        <v>0</v>
      </c>
      <c r="H38" s="8"/>
      <c r="I38" s="28">
        <f t="shared" si="15"/>
        <v>50947.348282778941</v>
      </c>
      <c r="J38" s="19"/>
      <c r="K38" s="8">
        <f t="shared" si="16"/>
        <v>0</v>
      </c>
      <c r="L38" s="8">
        <f t="shared" si="16"/>
        <v>0</v>
      </c>
      <c r="M38" s="8"/>
      <c r="N38" s="28">
        <f t="shared" si="4"/>
        <v>0</v>
      </c>
      <c r="O38" s="8"/>
      <c r="P38" s="8"/>
      <c r="Q38" s="8">
        <f t="shared" si="17"/>
        <v>0</v>
      </c>
      <c r="R38" s="8">
        <f t="shared" si="17"/>
        <v>0</v>
      </c>
      <c r="S38" s="8">
        <f t="shared" si="17"/>
        <v>149.62510508887436</v>
      </c>
      <c r="T38" s="8">
        <f t="shared" si="17"/>
        <v>0</v>
      </c>
      <c r="U38" s="8">
        <f t="shared" si="17"/>
        <v>0</v>
      </c>
      <c r="V38" s="8"/>
      <c r="W38" s="28">
        <f t="shared" ref="W38:W43" si="22">SUM(Q38:U38)</f>
        <v>149.62510508887436</v>
      </c>
      <c r="X38" s="8"/>
      <c r="Y38" s="8">
        <f t="shared" si="18"/>
        <v>4488.7531526546236</v>
      </c>
      <c r="Z38" s="8">
        <f t="shared" si="18"/>
        <v>3441.3774170468191</v>
      </c>
      <c r="AA38" s="8">
        <f t="shared" si="18"/>
        <v>0</v>
      </c>
      <c r="AB38" s="8"/>
      <c r="AC38" s="27">
        <f t="shared" ref="AC38:AC43" si="23">SUM(Y38:AA38)</f>
        <v>7930.1305697014432</v>
      </c>
      <c r="AD38" s="8"/>
      <c r="AE38" s="8">
        <f t="shared" si="19"/>
        <v>0</v>
      </c>
      <c r="AF38" s="8">
        <f t="shared" si="19"/>
        <v>0</v>
      </c>
      <c r="AG38" s="8"/>
      <c r="AH38" s="28">
        <f t="shared" ref="AH38:AH43" si="24">SUM(AE38:AF38)</f>
        <v>0</v>
      </c>
      <c r="AI38" s="8"/>
      <c r="AJ38" s="8">
        <f t="shared" si="20"/>
        <v>1645.8761559772311</v>
      </c>
      <c r="AK38" s="8">
        <f t="shared" si="20"/>
        <v>1870.3138136118966</v>
      </c>
      <c r="AL38" s="8">
        <f t="shared" si="20"/>
        <v>0</v>
      </c>
      <c r="AM38" s="8">
        <f t="shared" si="20"/>
        <v>0</v>
      </c>
      <c r="AN38" s="8">
        <f t="shared" si="20"/>
        <v>0</v>
      </c>
      <c r="AO38" s="8">
        <f t="shared" si="20"/>
        <v>3216.9397594121529</v>
      </c>
      <c r="AP38" s="8"/>
      <c r="AQ38" s="28">
        <f t="shared" ref="AQ38:AQ43" si="25">SUM(AJ38:AO38)</f>
        <v>6733.1297290012808</v>
      </c>
      <c r="AS38" s="8">
        <f t="shared" si="21"/>
        <v>0</v>
      </c>
      <c r="AT38" s="8">
        <f t="shared" si="21"/>
        <v>2094.7514712465627</v>
      </c>
      <c r="AU38" s="8">
        <f t="shared" si="21"/>
        <v>0</v>
      </c>
      <c r="AV38" s="8">
        <f t="shared" si="21"/>
        <v>0</v>
      </c>
      <c r="AW38" s="8">
        <f t="shared" si="21"/>
        <v>0</v>
      </c>
      <c r="AX38" s="8">
        <f t="shared" si="21"/>
        <v>0</v>
      </c>
      <c r="AY38" s="8">
        <f t="shared" si="21"/>
        <v>0</v>
      </c>
    </row>
    <row r="39" spans="3:51" ht="15.75" thickBot="1" x14ac:dyDescent="0.3">
      <c r="C39" s="13" t="s">
        <v>42</v>
      </c>
      <c r="D39" s="18">
        <f t="shared" si="14"/>
        <v>16839.317270634736</v>
      </c>
      <c r="E39" s="19">
        <f t="shared" si="14"/>
        <v>21411.07761560064</v>
      </c>
      <c r="F39" s="19">
        <f t="shared" si="14"/>
        <v>0</v>
      </c>
      <c r="G39" s="20">
        <f t="shared" si="14"/>
        <v>0</v>
      </c>
      <c r="H39" s="8"/>
      <c r="I39" s="28">
        <f t="shared" si="15"/>
        <v>38250.394886235372</v>
      </c>
      <c r="J39" s="19"/>
      <c r="K39" s="8">
        <f t="shared" si="16"/>
        <v>0</v>
      </c>
      <c r="L39" s="8">
        <f t="shared" si="16"/>
        <v>0</v>
      </c>
      <c r="M39" s="8"/>
      <c r="N39" s="28">
        <f t="shared" si="4"/>
        <v>0</v>
      </c>
      <c r="O39" s="8"/>
      <c r="P39" s="8"/>
      <c r="Q39" s="8">
        <f t="shared" si="17"/>
        <v>0</v>
      </c>
      <c r="R39" s="8">
        <f t="shared" si="17"/>
        <v>0</v>
      </c>
      <c r="S39" s="8">
        <f t="shared" si="17"/>
        <v>0</v>
      </c>
      <c r="T39" s="8">
        <f t="shared" si="17"/>
        <v>0</v>
      </c>
      <c r="U39" s="8">
        <f t="shared" si="17"/>
        <v>152.39201149873455</v>
      </c>
      <c r="V39" s="8"/>
      <c r="W39" s="28">
        <f t="shared" si="22"/>
        <v>152.39201149873455</v>
      </c>
      <c r="X39" s="8"/>
      <c r="Y39" s="8">
        <f t="shared" si="18"/>
        <v>4114.5843104847909</v>
      </c>
      <c r="Z39" s="8">
        <f t="shared" si="18"/>
        <v>3505.0162644751504</v>
      </c>
      <c r="AA39" s="8">
        <f t="shared" si="18"/>
        <v>0</v>
      </c>
      <c r="AB39" s="8"/>
      <c r="AC39" s="27">
        <f t="shared" si="23"/>
        <v>7619.6005749599408</v>
      </c>
      <c r="AD39" s="8"/>
      <c r="AE39" s="8">
        <f t="shared" si="19"/>
        <v>152.39201149873455</v>
      </c>
      <c r="AF39" s="8">
        <f t="shared" si="19"/>
        <v>1676.3121264887882</v>
      </c>
      <c r="AG39" s="8"/>
      <c r="AH39" s="28">
        <f t="shared" si="24"/>
        <v>1828.7041379875227</v>
      </c>
      <c r="AI39" s="8"/>
      <c r="AJ39" s="8">
        <f t="shared" si="20"/>
        <v>2514.4681897312475</v>
      </c>
      <c r="AK39" s="8">
        <f t="shared" si="20"/>
        <v>1219.1360919921979</v>
      </c>
      <c r="AL39" s="8">
        <f t="shared" si="20"/>
        <v>0</v>
      </c>
      <c r="AM39" s="8">
        <f t="shared" si="20"/>
        <v>0</v>
      </c>
      <c r="AN39" s="8">
        <f t="shared" si="20"/>
        <v>76.196005749560726</v>
      </c>
      <c r="AO39" s="8">
        <f t="shared" si="20"/>
        <v>3200.2322414761334</v>
      </c>
      <c r="AP39" s="8"/>
      <c r="AQ39" s="28">
        <f t="shared" si="25"/>
        <v>7010.0325289491393</v>
      </c>
      <c r="AS39" s="8">
        <f t="shared" si="21"/>
        <v>0</v>
      </c>
      <c r="AT39" s="8">
        <f t="shared" si="21"/>
        <v>3505.0162644751504</v>
      </c>
      <c r="AU39" s="8">
        <f t="shared" si="21"/>
        <v>0</v>
      </c>
      <c r="AV39" s="8">
        <f t="shared" si="21"/>
        <v>0</v>
      </c>
      <c r="AW39" s="8">
        <f t="shared" si="21"/>
        <v>0</v>
      </c>
      <c r="AX39" s="8">
        <f t="shared" si="21"/>
        <v>0</v>
      </c>
      <c r="AY39" s="8">
        <f t="shared" si="21"/>
        <v>0</v>
      </c>
    </row>
    <row r="40" spans="3:51" ht="15.75" thickBot="1" x14ac:dyDescent="0.3">
      <c r="C40" s="13" t="s">
        <v>42</v>
      </c>
      <c r="D40" s="18">
        <f t="shared" si="14"/>
        <v>19812.41072392997</v>
      </c>
      <c r="E40" s="19">
        <f t="shared" si="14"/>
        <v>24141.172730823757</v>
      </c>
      <c r="F40" s="19">
        <f t="shared" si="14"/>
        <v>83.245423209763786</v>
      </c>
      <c r="G40" s="20">
        <f t="shared" si="14"/>
        <v>0</v>
      </c>
      <c r="H40" s="8"/>
      <c r="I40" s="28">
        <f t="shared" si="15"/>
        <v>44036.82887796349</v>
      </c>
      <c r="J40" s="19"/>
      <c r="K40" s="8">
        <f t="shared" si="16"/>
        <v>0</v>
      </c>
      <c r="L40" s="8">
        <f t="shared" si="16"/>
        <v>0</v>
      </c>
      <c r="M40" s="8"/>
      <c r="N40" s="28">
        <f t="shared" si="4"/>
        <v>0</v>
      </c>
      <c r="O40" s="8"/>
      <c r="P40" s="8"/>
      <c r="Q40" s="8">
        <f t="shared" si="17"/>
        <v>0</v>
      </c>
      <c r="R40" s="8">
        <f t="shared" si="17"/>
        <v>0</v>
      </c>
      <c r="S40" s="8">
        <f t="shared" si="17"/>
        <v>83.245423209763786</v>
      </c>
      <c r="T40" s="8">
        <f t="shared" si="17"/>
        <v>0</v>
      </c>
      <c r="U40" s="8">
        <f t="shared" si="17"/>
        <v>0</v>
      </c>
      <c r="V40" s="8"/>
      <c r="W40" s="28">
        <f t="shared" si="22"/>
        <v>83.245423209763786</v>
      </c>
      <c r="X40" s="8"/>
      <c r="Y40" s="8">
        <f t="shared" si="18"/>
        <v>3912.5348908604456</v>
      </c>
      <c r="Z40" s="8">
        <f t="shared" si="18"/>
        <v>3746.0440444393703</v>
      </c>
      <c r="AA40" s="8">
        <f t="shared" si="18"/>
        <v>0</v>
      </c>
      <c r="AB40" s="8"/>
      <c r="AC40" s="27">
        <f t="shared" si="23"/>
        <v>7658.5789352998163</v>
      </c>
      <c r="AD40" s="8"/>
      <c r="AE40" s="8">
        <f t="shared" si="19"/>
        <v>0</v>
      </c>
      <c r="AF40" s="8">
        <f t="shared" si="19"/>
        <v>166.49084641952757</v>
      </c>
      <c r="AG40" s="8"/>
      <c r="AH40" s="28">
        <f t="shared" si="24"/>
        <v>166.49084641952757</v>
      </c>
      <c r="AI40" s="8"/>
      <c r="AJ40" s="8">
        <f t="shared" si="20"/>
        <v>3246.5715051800139</v>
      </c>
      <c r="AK40" s="8">
        <f t="shared" si="20"/>
        <v>2247.6264266651701</v>
      </c>
      <c r="AL40" s="8">
        <f t="shared" si="20"/>
        <v>0</v>
      </c>
      <c r="AM40" s="8">
        <f t="shared" si="20"/>
        <v>83.245423209763786</v>
      </c>
      <c r="AN40" s="8">
        <f t="shared" si="20"/>
        <v>83.245423209763786</v>
      </c>
      <c r="AO40" s="8">
        <f t="shared" si="20"/>
        <v>2913.5898123417323</v>
      </c>
      <c r="AP40" s="8"/>
      <c r="AQ40" s="28">
        <f t="shared" si="25"/>
        <v>8574.2785906064437</v>
      </c>
      <c r="AS40" s="8">
        <f t="shared" si="21"/>
        <v>0</v>
      </c>
      <c r="AT40" s="8">
        <f t="shared" si="21"/>
        <v>3579.553198022164</v>
      </c>
      <c r="AU40" s="8">
        <f t="shared" si="21"/>
        <v>0</v>
      </c>
      <c r="AV40" s="8">
        <f t="shared" si="21"/>
        <v>0</v>
      </c>
      <c r="AW40" s="8">
        <f t="shared" si="21"/>
        <v>0</v>
      </c>
      <c r="AX40" s="8">
        <f t="shared" si="21"/>
        <v>0</v>
      </c>
      <c r="AY40" s="8">
        <f t="shared" si="21"/>
        <v>0</v>
      </c>
    </row>
    <row r="41" spans="3:51" ht="15.75" thickBot="1" x14ac:dyDescent="0.3">
      <c r="C41" s="13" t="s">
        <v>42</v>
      </c>
      <c r="D41" s="18">
        <f t="shared" si="14"/>
        <v>14541.064970809888</v>
      </c>
      <c r="E41" s="19">
        <f t="shared" si="14"/>
        <v>14830.439398082757</v>
      </c>
      <c r="F41" s="19">
        <f t="shared" si="14"/>
        <v>0</v>
      </c>
      <c r="G41" s="20">
        <f t="shared" si="14"/>
        <v>0</v>
      </c>
      <c r="H41" s="8"/>
      <c r="I41" s="28">
        <f t="shared" si="15"/>
        <v>29371.504368892645</v>
      </c>
      <c r="J41" s="19"/>
      <c r="K41" s="8">
        <f t="shared" si="16"/>
        <v>0</v>
      </c>
      <c r="L41" s="8">
        <f t="shared" si="16"/>
        <v>0</v>
      </c>
      <c r="M41" s="8"/>
      <c r="N41" s="28">
        <f t="shared" si="4"/>
        <v>0</v>
      </c>
      <c r="O41" s="8"/>
      <c r="P41" s="8"/>
      <c r="Q41" s="8">
        <f t="shared" si="17"/>
        <v>0</v>
      </c>
      <c r="R41" s="8">
        <f t="shared" si="17"/>
        <v>0</v>
      </c>
      <c r="S41" s="8">
        <f t="shared" si="17"/>
        <v>144.68721363991671</v>
      </c>
      <c r="T41" s="8">
        <f t="shared" si="17"/>
        <v>0</v>
      </c>
      <c r="U41" s="8">
        <f t="shared" si="17"/>
        <v>0</v>
      </c>
      <c r="V41" s="8"/>
      <c r="W41" s="28">
        <f t="shared" si="22"/>
        <v>144.68721363991671</v>
      </c>
      <c r="X41" s="8"/>
      <c r="Y41" s="8">
        <f t="shared" si="18"/>
        <v>1663.902956857688</v>
      </c>
      <c r="Z41" s="8">
        <f t="shared" si="18"/>
        <v>3110.7750932568547</v>
      </c>
      <c r="AA41" s="8">
        <f t="shared" si="18"/>
        <v>0</v>
      </c>
      <c r="AB41" s="8"/>
      <c r="AC41" s="27">
        <f t="shared" si="23"/>
        <v>4774.6780501145422</v>
      </c>
      <c r="AD41" s="8"/>
      <c r="AE41" s="8">
        <f t="shared" si="19"/>
        <v>0</v>
      </c>
      <c r="AF41" s="8">
        <f t="shared" si="19"/>
        <v>72.343606819764901</v>
      </c>
      <c r="AG41" s="8"/>
      <c r="AH41" s="28">
        <f t="shared" si="24"/>
        <v>72.343606819764901</v>
      </c>
      <c r="AI41" s="8"/>
      <c r="AJ41" s="8">
        <f t="shared" si="20"/>
        <v>2097.964597778599</v>
      </c>
      <c r="AK41" s="8">
        <f t="shared" si="20"/>
        <v>1663.902956857688</v>
      </c>
      <c r="AL41" s="8">
        <f t="shared" si="20"/>
        <v>0</v>
      </c>
      <c r="AM41" s="8">
        <f t="shared" si="20"/>
        <v>0</v>
      </c>
      <c r="AN41" s="8">
        <f t="shared" si="20"/>
        <v>0</v>
      </c>
      <c r="AO41" s="8">
        <f t="shared" si="20"/>
        <v>3761.8675546362865</v>
      </c>
      <c r="AP41" s="8"/>
      <c r="AQ41" s="28">
        <f t="shared" si="25"/>
        <v>7523.735109272573</v>
      </c>
      <c r="AS41" s="8">
        <f t="shared" si="21"/>
        <v>0</v>
      </c>
      <c r="AT41" s="8">
        <f t="shared" si="21"/>
        <v>2242.6518114189021</v>
      </c>
      <c r="AU41" s="8">
        <f t="shared" si="21"/>
        <v>0</v>
      </c>
      <c r="AV41" s="8">
        <f t="shared" si="21"/>
        <v>0</v>
      </c>
      <c r="AW41" s="8">
        <f t="shared" si="21"/>
        <v>0</v>
      </c>
      <c r="AX41" s="8">
        <f t="shared" si="21"/>
        <v>0</v>
      </c>
      <c r="AY41" s="8">
        <f t="shared" si="21"/>
        <v>0</v>
      </c>
    </row>
    <row r="42" spans="3:51" ht="15.75" thickBot="1" x14ac:dyDescent="0.3">
      <c r="C42" s="13" t="s">
        <v>43</v>
      </c>
      <c r="D42" s="18">
        <f t="shared" si="14"/>
        <v>10947.150232990027</v>
      </c>
      <c r="E42" s="19">
        <f t="shared" si="14"/>
        <v>22104.822585843762</v>
      </c>
      <c r="F42" s="19">
        <f t="shared" si="14"/>
        <v>105.26105993262617</v>
      </c>
      <c r="G42" s="20">
        <f t="shared" si="14"/>
        <v>0</v>
      </c>
      <c r="H42" s="8"/>
      <c r="I42" s="28">
        <f t="shared" si="15"/>
        <v>33157.233878766419</v>
      </c>
      <c r="J42" s="19"/>
      <c r="K42" s="8">
        <f t="shared" si="16"/>
        <v>0</v>
      </c>
      <c r="L42" s="8">
        <f t="shared" si="16"/>
        <v>0</v>
      </c>
      <c r="M42" s="8"/>
      <c r="N42" s="28">
        <f t="shared" si="4"/>
        <v>0</v>
      </c>
      <c r="O42" s="8"/>
      <c r="P42" s="8"/>
      <c r="Q42" s="8">
        <f t="shared" si="17"/>
        <v>0</v>
      </c>
      <c r="R42" s="8">
        <f t="shared" si="17"/>
        <v>0</v>
      </c>
      <c r="S42" s="8">
        <f t="shared" si="17"/>
        <v>0</v>
      </c>
      <c r="T42" s="8">
        <f t="shared" si="17"/>
        <v>0</v>
      </c>
      <c r="U42" s="8">
        <f t="shared" si="17"/>
        <v>0</v>
      </c>
      <c r="V42" s="8"/>
      <c r="W42" s="28">
        <f t="shared" si="22"/>
        <v>0</v>
      </c>
      <c r="X42" s="8"/>
      <c r="Y42" s="8">
        <f t="shared" si="18"/>
        <v>1999.9601387206712</v>
      </c>
      <c r="Z42" s="8">
        <f t="shared" si="18"/>
        <v>2315.7433185200971</v>
      </c>
      <c r="AA42" s="8">
        <f t="shared" si="18"/>
        <v>4315.7034572252924</v>
      </c>
      <c r="AB42" s="8"/>
      <c r="AC42" s="27">
        <f t="shared" si="23"/>
        <v>8631.4069144660607</v>
      </c>
      <c r="AD42" s="8"/>
      <c r="AE42" s="8">
        <f t="shared" si="19"/>
        <v>0</v>
      </c>
      <c r="AF42" s="8">
        <f t="shared" si="19"/>
        <v>0</v>
      </c>
      <c r="AG42" s="8"/>
      <c r="AH42" s="28">
        <f t="shared" si="24"/>
        <v>0</v>
      </c>
      <c r="AI42" s="8"/>
      <c r="AJ42" s="8">
        <f t="shared" si="20"/>
        <v>5368.3140565825061</v>
      </c>
      <c r="AK42" s="8">
        <f t="shared" si="20"/>
        <v>2105.2211986525235</v>
      </c>
      <c r="AL42" s="8">
        <f t="shared" si="20"/>
        <v>0</v>
      </c>
      <c r="AM42" s="8">
        <f t="shared" si="20"/>
        <v>0</v>
      </c>
      <c r="AN42" s="8">
        <f t="shared" si="20"/>
        <v>210.52211986525234</v>
      </c>
      <c r="AO42" s="8">
        <f t="shared" si="20"/>
        <v>4631.4866370401942</v>
      </c>
      <c r="AP42" s="8"/>
      <c r="AQ42" s="28">
        <f t="shared" si="25"/>
        <v>12315.544012140475</v>
      </c>
      <c r="AS42" s="8">
        <f t="shared" si="21"/>
        <v>0</v>
      </c>
      <c r="AT42" s="8">
        <f t="shared" si="21"/>
        <v>8631.4069144892765</v>
      </c>
      <c r="AU42" s="8">
        <f t="shared" si="21"/>
        <v>0</v>
      </c>
      <c r="AV42" s="8">
        <f t="shared" si="21"/>
        <v>0</v>
      </c>
      <c r="AW42" s="8">
        <f t="shared" si="21"/>
        <v>0</v>
      </c>
      <c r="AX42" s="8">
        <f t="shared" si="21"/>
        <v>0</v>
      </c>
      <c r="AY42" s="8">
        <f t="shared" si="21"/>
        <v>210.52211986525234</v>
      </c>
    </row>
    <row r="43" spans="3:51" ht="15.75" thickBot="1" x14ac:dyDescent="0.3">
      <c r="C43" s="14" t="s">
        <v>43</v>
      </c>
      <c r="D43" s="21">
        <f t="shared" si="14"/>
        <v>14598.371910809248</v>
      </c>
      <c r="E43" s="22">
        <f t="shared" si="14"/>
        <v>26550.255346573536</v>
      </c>
      <c r="F43" s="22">
        <f t="shared" si="14"/>
        <v>0</v>
      </c>
      <c r="G43" s="23">
        <f t="shared" si="14"/>
        <v>85.370595969579099</v>
      </c>
      <c r="H43" s="8"/>
      <c r="I43" s="29">
        <f t="shared" si="15"/>
        <v>41233.997853352368</v>
      </c>
      <c r="J43" s="19"/>
      <c r="K43" s="8">
        <f t="shared" si="16"/>
        <v>0</v>
      </c>
      <c r="L43" s="8">
        <f t="shared" si="16"/>
        <v>0</v>
      </c>
      <c r="M43" s="8"/>
      <c r="N43" s="29">
        <f t="shared" si="4"/>
        <v>0</v>
      </c>
      <c r="O43" s="8"/>
      <c r="P43" s="8"/>
      <c r="Q43" s="8">
        <f t="shared" si="17"/>
        <v>0</v>
      </c>
      <c r="R43" s="8">
        <f t="shared" si="17"/>
        <v>0</v>
      </c>
      <c r="S43" s="8">
        <f t="shared" si="17"/>
        <v>0</v>
      </c>
      <c r="T43" s="8">
        <f t="shared" si="17"/>
        <v>0</v>
      </c>
      <c r="U43" s="8">
        <f t="shared" si="17"/>
        <v>85.370595969579099</v>
      </c>
      <c r="V43" s="8"/>
      <c r="W43" s="29">
        <f t="shared" si="22"/>
        <v>85.370595969579099</v>
      </c>
      <c r="X43" s="8"/>
      <c r="Y43" s="8">
        <f t="shared" si="18"/>
        <v>2390.3766871528578</v>
      </c>
      <c r="Z43" s="8">
        <f t="shared" si="18"/>
        <v>2646.4884750604342</v>
      </c>
      <c r="AA43" s="8">
        <f t="shared" si="18"/>
        <v>5975.9417178821441</v>
      </c>
      <c r="AB43" s="8"/>
      <c r="AC43" s="27">
        <f t="shared" si="23"/>
        <v>11012.806880095435</v>
      </c>
      <c r="AD43" s="8"/>
      <c r="AE43" s="8">
        <f t="shared" si="19"/>
        <v>0</v>
      </c>
      <c r="AF43" s="8">
        <f t="shared" si="19"/>
        <v>0</v>
      </c>
      <c r="AG43" s="8"/>
      <c r="AH43" s="29">
        <f t="shared" si="24"/>
        <v>0</v>
      </c>
      <c r="AI43" s="8"/>
      <c r="AJ43" s="8">
        <f t="shared" si="20"/>
        <v>4695.3827783442612</v>
      </c>
      <c r="AK43" s="8">
        <f t="shared" si="20"/>
        <v>4268.5297984983008</v>
      </c>
      <c r="AL43" s="8">
        <f t="shared" si="20"/>
        <v>0</v>
      </c>
      <c r="AM43" s="8">
        <f t="shared" si="20"/>
        <v>0</v>
      </c>
      <c r="AN43" s="8">
        <f t="shared" si="20"/>
        <v>0</v>
      </c>
      <c r="AO43" s="8">
        <f t="shared" si="20"/>
        <v>4012.4180105907244</v>
      </c>
      <c r="AP43" s="8"/>
      <c r="AQ43" s="29">
        <f t="shared" si="25"/>
        <v>12976.330587433287</v>
      </c>
      <c r="AS43" s="8">
        <f t="shared" si="21"/>
        <v>0</v>
      </c>
      <c r="AT43" s="8">
        <f t="shared" si="21"/>
        <v>7597.9830412967967</v>
      </c>
      <c r="AU43" s="8">
        <f t="shared" si="21"/>
        <v>0</v>
      </c>
      <c r="AV43" s="8">
        <f t="shared" si="21"/>
        <v>0</v>
      </c>
      <c r="AW43" s="8">
        <f t="shared" si="21"/>
        <v>0</v>
      </c>
      <c r="AX43" s="8">
        <f t="shared" si="21"/>
        <v>85.370595969579099</v>
      </c>
      <c r="AY43" s="8">
        <f t="shared" si="21"/>
        <v>0</v>
      </c>
    </row>
    <row r="44" spans="3:51" ht="15.75" thickBot="1" x14ac:dyDescent="0.3">
      <c r="D44" s="11"/>
      <c r="E44" s="11"/>
      <c r="F44" s="11"/>
      <c r="G44" s="11"/>
      <c r="H44" s="8"/>
      <c r="I44" s="11"/>
      <c r="J44" s="11"/>
      <c r="K44" s="8"/>
      <c r="L44" s="8"/>
      <c r="M44" s="8"/>
      <c r="N44" s="11"/>
      <c r="O44" s="8"/>
      <c r="P44" s="8"/>
      <c r="Q44" s="8"/>
      <c r="R44" s="8"/>
      <c r="S44" s="8"/>
      <c r="T44" s="8"/>
      <c r="U44" s="8"/>
      <c r="V44" s="8"/>
      <c r="W44" s="11"/>
      <c r="X44" s="8"/>
      <c r="Y44" s="8"/>
      <c r="Z44" s="8"/>
      <c r="AA44" s="8"/>
      <c r="AB44" s="8"/>
      <c r="AC44" s="11"/>
      <c r="AD44" s="8"/>
      <c r="AE44" s="8"/>
      <c r="AF44" s="8"/>
      <c r="AG44" s="8"/>
      <c r="AH44" s="11"/>
      <c r="AI44" s="8"/>
      <c r="AJ44" s="8"/>
      <c r="AK44" s="8"/>
      <c r="AL44" s="8"/>
      <c r="AM44" s="8"/>
      <c r="AN44" s="8"/>
      <c r="AO44" s="8"/>
      <c r="AP44" s="8"/>
      <c r="AQ44" s="11"/>
      <c r="AS44" s="8"/>
      <c r="AT44" s="8"/>
      <c r="AU44" s="8"/>
      <c r="AV44" s="8"/>
      <c r="AW44" s="8"/>
      <c r="AX44" s="8"/>
      <c r="AY44" s="8"/>
    </row>
    <row r="45" spans="3:51" ht="15.75" thickBot="1" x14ac:dyDescent="0.3">
      <c r="D45" s="24">
        <f>AVERAGE(D37:D43)</f>
        <v>17875.366795399874</v>
      </c>
      <c r="E45" s="25">
        <f t="shared" ref="E45:G45" si="26">AVERAGE(E37:E43)</f>
        <v>23579.19957913904</v>
      </c>
      <c r="F45" s="25">
        <f t="shared" si="26"/>
        <v>26.929497591769994</v>
      </c>
      <c r="G45" s="26">
        <f t="shared" si="26"/>
        <v>13.674965289944312</v>
      </c>
      <c r="H45" s="8"/>
      <c r="I45" s="30">
        <f t="shared" ref="I45" si="27">AVERAGE(I37:I43)</f>
        <v>41495.170837420621</v>
      </c>
      <c r="J45" s="69"/>
      <c r="K45" s="8"/>
      <c r="L45" s="8"/>
      <c r="M45" s="8"/>
      <c r="N45" s="30">
        <f t="shared" ref="N45" si="28">AVERAGE(N37:N43)</f>
        <v>0</v>
      </c>
      <c r="O45" s="8"/>
      <c r="P45" s="8"/>
      <c r="Q45" s="24">
        <f>AVERAGE(Q37:Q43)</f>
        <v>0</v>
      </c>
      <c r="R45" s="25">
        <f t="shared" ref="R45:T45" si="29">AVERAGE(R37:R43)</f>
        <v>2.9583317314374531</v>
      </c>
      <c r="S45" s="25">
        <f t="shared" si="29"/>
        <v>59.853483739833429</v>
      </c>
      <c r="T45" s="25">
        <f t="shared" si="29"/>
        <v>0</v>
      </c>
      <c r="U45" s="26">
        <f>AVERAGE(U37:U43)</f>
        <v>33.966086781187663</v>
      </c>
      <c r="V45" s="8"/>
      <c r="W45" s="30">
        <f t="shared" ref="W45" si="30">AVERAGE(W37:W43)</f>
        <v>96.777902252458532</v>
      </c>
      <c r="X45" s="8"/>
      <c r="Y45" s="24">
        <f>AVERAGE(Y37:Y43)</f>
        <v>3177.9770447201913</v>
      </c>
      <c r="Z45" s="25">
        <f t="shared" ref="Z45:AA45" si="31">AVERAGE(Z37:Z43)</f>
        <v>3438.110725073459</v>
      </c>
      <c r="AA45" s="26">
        <f t="shared" si="31"/>
        <v>1470.2350250153481</v>
      </c>
      <c r="AB45" s="8"/>
      <c r="AC45" s="30">
        <f>AVERAGE(AC37:AC43)</f>
        <v>8086.322794808998</v>
      </c>
      <c r="AD45" s="8"/>
      <c r="AE45" s="24">
        <f>AVERAGE(AE37:AE43)</f>
        <v>21.770287356962079</v>
      </c>
      <c r="AF45" s="26">
        <f t="shared" ref="AF45" si="32">AVERAGE(AF37:AF43)</f>
        <v>279.50903199547997</v>
      </c>
      <c r="AG45" s="8"/>
      <c r="AH45" s="30">
        <f>AVERAGE(AH37:AH43)</f>
        <v>301.27931935244203</v>
      </c>
      <c r="AI45" s="8"/>
      <c r="AJ45" s="24">
        <f>AVERAGE(AJ37:AJ43)</f>
        <v>3115.0108675086312</v>
      </c>
      <c r="AK45" s="25">
        <f t="shared" ref="AK45:AO45" si="33">AVERAGE(AK37:AK43)</f>
        <v>2117.7589763828296</v>
      </c>
      <c r="AL45" s="25">
        <f t="shared" si="33"/>
        <v>0</v>
      </c>
      <c r="AM45" s="25">
        <f t="shared" si="33"/>
        <v>17.808866778577556</v>
      </c>
      <c r="AN45" s="25">
        <f t="shared" si="33"/>
        <v>55.810267277805579</v>
      </c>
      <c r="AO45" s="26">
        <f t="shared" si="33"/>
        <v>3543.0522413236422</v>
      </c>
      <c r="AP45" s="8"/>
      <c r="AQ45" s="30">
        <f>AVERAGE(AQ39:AQ43)</f>
        <v>9679.9841656803837</v>
      </c>
      <c r="AS45" s="8"/>
      <c r="AT45" s="8"/>
      <c r="AU45" s="8"/>
      <c r="AV45" s="8"/>
      <c r="AW45" s="8"/>
      <c r="AX45" s="8"/>
      <c r="AY45" s="8"/>
    </row>
    <row r="46" spans="3:51" ht="15.75" thickBot="1" x14ac:dyDescent="0.3">
      <c r="D46" s="19"/>
      <c r="E46" s="19"/>
      <c r="F46" s="19"/>
      <c r="G46" s="19"/>
      <c r="H46" s="8"/>
      <c r="I46" s="31">
        <f>STDEV(I37:I43)/SQRT(6)</f>
        <v>3598.8996912660364</v>
      </c>
      <c r="J46" s="69"/>
      <c r="K46" s="8"/>
      <c r="L46" s="8"/>
      <c r="M46" s="8"/>
      <c r="N46" s="31">
        <f>STDEV(N39:N43)</f>
        <v>0</v>
      </c>
      <c r="O46" s="8"/>
      <c r="P46" s="8"/>
      <c r="Q46" s="8"/>
      <c r="R46" s="8"/>
      <c r="S46" s="8"/>
      <c r="T46" s="8"/>
      <c r="U46" s="8"/>
      <c r="V46" s="8"/>
      <c r="W46" s="31">
        <f>STDEV(W39:W43)</f>
        <v>61.23977870838506</v>
      </c>
      <c r="X46" s="8"/>
      <c r="Y46" s="8"/>
      <c r="Z46" s="8"/>
      <c r="AA46" s="8"/>
      <c r="AB46" s="8"/>
      <c r="AC46" s="31">
        <f>STDEV(AC37:AC43)/SQRT(6)</f>
        <v>764.61711056605964</v>
      </c>
      <c r="AD46" s="8"/>
      <c r="AE46" s="8"/>
      <c r="AF46" s="8"/>
      <c r="AG46" s="8"/>
      <c r="AH46" s="31">
        <f>STDEV(AH37:AH43)/SQRT(6)</f>
        <v>276.05566891358177</v>
      </c>
      <c r="AI46" s="8"/>
      <c r="AJ46" s="8"/>
      <c r="AK46" s="8"/>
      <c r="AL46" s="8"/>
      <c r="AM46" s="8"/>
      <c r="AN46" s="8"/>
      <c r="AO46" s="8"/>
      <c r="AP46" s="8"/>
      <c r="AQ46" s="31">
        <f>STDEV(AQ39:AQ43)/SQRT(6)</f>
        <v>1133.0767845224375</v>
      </c>
      <c r="AS46" s="8"/>
      <c r="AT46" s="8"/>
      <c r="AU46" s="8"/>
      <c r="AV46" s="8"/>
      <c r="AW46" s="8"/>
      <c r="AX46" s="8"/>
      <c r="AY46" s="8"/>
    </row>
    <row r="47" spans="3:51" ht="15.75" thickBot="1" x14ac:dyDescent="0.3">
      <c r="D47" s="11"/>
      <c r="E47" s="11"/>
      <c r="F47" s="11"/>
      <c r="G47" s="11"/>
      <c r="H47" s="9"/>
      <c r="I47" s="11"/>
      <c r="J47" s="11"/>
      <c r="K47" s="9"/>
      <c r="L47" s="9"/>
      <c r="M47" s="9"/>
      <c r="N47" s="11"/>
      <c r="O47" s="9"/>
      <c r="P47" s="9"/>
      <c r="Q47" s="9"/>
      <c r="R47" s="9"/>
      <c r="S47" s="9"/>
      <c r="T47" s="9"/>
      <c r="U47" s="9"/>
      <c r="V47" s="9"/>
      <c r="W47" s="11"/>
      <c r="X47" s="9"/>
      <c r="Y47" s="9"/>
      <c r="Z47" s="9"/>
      <c r="AA47" s="9"/>
      <c r="AB47" s="9"/>
      <c r="AC47" s="11"/>
      <c r="AD47" s="9"/>
      <c r="AE47" s="9"/>
      <c r="AF47" s="9"/>
      <c r="AG47" s="9"/>
      <c r="AH47" s="11"/>
      <c r="AI47" s="9"/>
      <c r="AJ47" s="9"/>
      <c r="AK47" s="9"/>
      <c r="AL47" s="9"/>
      <c r="AM47" s="9"/>
      <c r="AN47" s="9"/>
      <c r="AO47" s="9"/>
      <c r="AP47" s="9"/>
      <c r="AQ47" s="11"/>
      <c r="AS47" s="9"/>
      <c r="AT47" s="9"/>
      <c r="AU47" s="9"/>
      <c r="AV47" s="9"/>
      <c r="AW47" s="9"/>
      <c r="AX47" s="9"/>
      <c r="AY47" s="9"/>
    </row>
    <row r="48" spans="3:51" ht="15.75" thickBot="1" x14ac:dyDescent="0.3">
      <c r="C48" s="12" t="s">
        <v>44</v>
      </c>
      <c r="D48" s="15">
        <f t="shared" ref="D48:G54" si="34">D17*$A$17</f>
        <v>28122.169642637506</v>
      </c>
      <c r="E48" s="16">
        <f t="shared" si="34"/>
        <v>39661.241707318492</v>
      </c>
      <c r="F48" s="16">
        <f t="shared" si="34"/>
        <v>0</v>
      </c>
      <c r="G48" s="17">
        <f t="shared" si="34"/>
        <v>0</v>
      </c>
      <c r="H48" s="8"/>
      <c r="I48" s="27">
        <f t="shared" ref="I48:I54" si="35">SUM(D48:G48)</f>
        <v>67783.411349956004</v>
      </c>
      <c r="J48" s="19"/>
      <c r="K48" s="8">
        <f t="shared" ref="K48:L54" si="36">K17*$A$17</f>
        <v>0</v>
      </c>
      <c r="L48" s="8">
        <f t="shared" si="36"/>
        <v>0</v>
      </c>
      <c r="M48" s="8"/>
      <c r="N48" s="27">
        <f t="shared" si="4"/>
        <v>0</v>
      </c>
      <c r="O48" s="8"/>
      <c r="P48" s="8"/>
      <c r="Q48" s="8">
        <f t="shared" ref="Q48:U54" si="37">Q17*$A$17</f>
        <v>138.19247981617806</v>
      </c>
      <c r="R48" s="8">
        <f t="shared" si="37"/>
        <v>138.19247981617806</v>
      </c>
      <c r="S48" s="8">
        <f t="shared" si="37"/>
        <v>0</v>
      </c>
      <c r="T48" s="8">
        <f t="shared" si="37"/>
        <v>69.096239908278434</v>
      </c>
      <c r="U48" s="8">
        <f t="shared" si="37"/>
        <v>207.28871972445648</v>
      </c>
      <c r="V48" s="8"/>
      <c r="W48" s="27">
        <f>SUM(Q48:U48)</f>
        <v>552.76991926509106</v>
      </c>
      <c r="X48" s="8"/>
      <c r="Y48" s="8">
        <f t="shared" ref="Y48:AA54" si="38">Y17*$A$17</f>
        <v>2902.0420761423911</v>
      </c>
      <c r="Z48" s="8">
        <f t="shared" si="38"/>
        <v>2832.9458362348701</v>
      </c>
      <c r="AA48" s="8">
        <f t="shared" si="38"/>
        <v>0</v>
      </c>
      <c r="AB48" s="8"/>
      <c r="AC48" s="27">
        <f>SUM(Y48:AA48)</f>
        <v>5734.9879123772607</v>
      </c>
      <c r="AD48" s="8"/>
      <c r="AE48" s="8">
        <f t="shared" ref="AE48:AF54" si="39">AE17*$A$17</f>
        <v>0</v>
      </c>
      <c r="AF48" s="8">
        <f t="shared" si="39"/>
        <v>138.19247981617806</v>
      </c>
      <c r="AG48" s="8"/>
      <c r="AH48" s="27">
        <f>SUM(AE48:AF48)</f>
        <v>138.19247981617806</v>
      </c>
      <c r="AI48" s="8"/>
      <c r="AJ48" s="8">
        <f t="shared" ref="AJ48:AO54" si="40">AJ17*$A$17</f>
        <v>5251.3142330246155</v>
      </c>
      <c r="AK48" s="8">
        <f t="shared" si="40"/>
        <v>3316.6195155913038</v>
      </c>
      <c r="AL48" s="8">
        <f t="shared" si="40"/>
        <v>69.096239908278434</v>
      </c>
      <c r="AM48" s="8">
        <f t="shared" si="40"/>
        <v>69.096239908278434</v>
      </c>
      <c r="AN48" s="8">
        <f t="shared" si="40"/>
        <v>138.19247981617806</v>
      </c>
      <c r="AO48" s="8">
        <f t="shared" si="40"/>
        <v>7807.8751096142496</v>
      </c>
      <c r="AP48" s="8"/>
      <c r="AQ48" s="27">
        <f>SUM(AJ48:AO48)</f>
        <v>16652.193817862906</v>
      </c>
      <c r="AS48" s="8">
        <f t="shared" ref="AS48:AY54" si="41">AS17*$A$17</f>
        <v>0</v>
      </c>
      <c r="AT48" s="8">
        <f t="shared" si="41"/>
        <v>4629.4480738531402</v>
      </c>
      <c r="AU48" s="8">
        <f t="shared" si="41"/>
        <v>0</v>
      </c>
      <c r="AV48" s="8">
        <f t="shared" si="41"/>
        <v>0</v>
      </c>
      <c r="AW48" s="8">
        <f t="shared" si="41"/>
        <v>0</v>
      </c>
      <c r="AX48" s="8">
        <f t="shared" si="41"/>
        <v>0</v>
      </c>
      <c r="AY48" s="8">
        <f t="shared" si="41"/>
        <v>0</v>
      </c>
    </row>
    <row r="49" spans="3:51" ht="15.75" thickBot="1" x14ac:dyDescent="0.3">
      <c r="C49" s="13" t="s">
        <v>44</v>
      </c>
      <c r="D49" s="18">
        <f t="shared" si="34"/>
        <v>34814.389066670774</v>
      </c>
      <c r="E49" s="19">
        <f t="shared" si="34"/>
        <v>34454.550419995256</v>
      </c>
      <c r="F49" s="19">
        <f t="shared" si="34"/>
        <v>0</v>
      </c>
      <c r="G49" s="20">
        <f t="shared" si="34"/>
        <v>0</v>
      </c>
      <c r="H49" s="8"/>
      <c r="I49" s="28">
        <f t="shared" si="35"/>
        <v>69268.93948666603</v>
      </c>
      <c r="J49" s="19"/>
      <c r="K49" s="8">
        <f t="shared" si="36"/>
        <v>0</v>
      </c>
      <c r="L49" s="8">
        <f t="shared" si="36"/>
        <v>0</v>
      </c>
      <c r="M49" s="8"/>
      <c r="N49" s="28">
        <f t="shared" si="4"/>
        <v>0</v>
      </c>
      <c r="O49" s="8"/>
      <c r="P49" s="8"/>
      <c r="Q49" s="8">
        <f t="shared" si="37"/>
        <v>0</v>
      </c>
      <c r="R49" s="8">
        <f t="shared" si="37"/>
        <v>89.959661671152261</v>
      </c>
      <c r="S49" s="8">
        <f t="shared" si="37"/>
        <v>0</v>
      </c>
      <c r="T49" s="8">
        <f t="shared" si="37"/>
        <v>0</v>
      </c>
      <c r="U49" s="8">
        <f t="shared" si="37"/>
        <v>0</v>
      </c>
      <c r="V49" s="8"/>
      <c r="W49" s="28">
        <f t="shared" ref="W49:W54" si="42">SUM(Q49:U49)</f>
        <v>89.959661671152261</v>
      </c>
      <c r="X49" s="8"/>
      <c r="Y49" s="8">
        <f t="shared" si="38"/>
        <v>3418.4671434969669</v>
      </c>
      <c r="Z49" s="8">
        <f t="shared" si="38"/>
        <v>4408.0234218697924</v>
      </c>
      <c r="AA49" s="8">
        <f t="shared" si="38"/>
        <v>0</v>
      </c>
      <c r="AB49" s="8"/>
      <c r="AC49" s="27">
        <f t="shared" ref="AC49:AC54" si="43">SUM(Y49:AA49)</f>
        <v>7826.4905653667593</v>
      </c>
      <c r="AD49" s="8"/>
      <c r="AE49" s="8">
        <f t="shared" si="39"/>
        <v>0</v>
      </c>
      <c r="AF49" s="8">
        <f t="shared" si="39"/>
        <v>0</v>
      </c>
      <c r="AG49" s="8"/>
      <c r="AH49" s="28">
        <f t="shared" ref="AH49:AH54" si="44">SUM(AE49:AF49)</f>
        <v>0</v>
      </c>
      <c r="AI49" s="8"/>
      <c r="AJ49" s="8">
        <f t="shared" si="40"/>
        <v>5307.6200385964676</v>
      </c>
      <c r="AK49" s="8">
        <f t="shared" si="40"/>
        <v>2698.7898501307795</v>
      </c>
      <c r="AL49" s="8">
        <f t="shared" si="40"/>
        <v>89.959661671152261</v>
      </c>
      <c r="AM49" s="8">
        <f t="shared" si="40"/>
        <v>89.959661671152261</v>
      </c>
      <c r="AN49" s="8">
        <f t="shared" si="40"/>
        <v>179.91932334192569</v>
      </c>
      <c r="AO49" s="8">
        <f t="shared" si="40"/>
        <v>6836.9342869863576</v>
      </c>
      <c r="AP49" s="8"/>
      <c r="AQ49" s="28">
        <f t="shared" ref="AQ49:AQ54" si="45">SUM(AJ49:AO49)</f>
        <v>15203.182822397835</v>
      </c>
      <c r="AS49" s="8">
        <f t="shared" si="41"/>
        <v>0</v>
      </c>
      <c r="AT49" s="8">
        <f t="shared" si="41"/>
        <v>4677.9024068953713</v>
      </c>
      <c r="AU49" s="8">
        <f t="shared" si="41"/>
        <v>0</v>
      </c>
      <c r="AV49" s="8">
        <f t="shared" si="41"/>
        <v>0</v>
      </c>
      <c r="AW49" s="8">
        <f t="shared" si="41"/>
        <v>0</v>
      </c>
      <c r="AX49" s="8">
        <f t="shared" si="41"/>
        <v>0</v>
      </c>
      <c r="AY49" s="8">
        <f t="shared" si="41"/>
        <v>0</v>
      </c>
    </row>
    <row r="50" spans="3:51" ht="15.75" thickBot="1" x14ac:dyDescent="0.3">
      <c r="C50" s="13" t="s">
        <v>44</v>
      </c>
      <c r="D50" s="18">
        <f t="shared" si="34"/>
        <v>51365.442074102481</v>
      </c>
      <c r="E50" s="19">
        <f t="shared" si="34"/>
        <v>35204.546183446786</v>
      </c>
      <c r="F50" s="19">
        <f t="shared" si="34"/>
        <v>0</v>
      </c>
      <c r="G50" s="20">
        <f t="shared" si="34"/>
        <v>0</v>
      </c>
      <c r="H50" s="8"/>
      <c r="I50" s="28">
        <f t="shared" si="35"/>
        <v>86569.988257549267</v>
      </c>
      <c r="J50" s="19"/>
      <c r="K50" s="8">
        <f t="shared" si="36"/>
        <v>0</v>
      </c>
      <c r="L50" s="8">
        <f t="shared" si="36"/>
        <v>0</v>
      </c>
      <c r="M50" s="8"/>
      <c r="N50" s="28">
        <f t="shared" si="4"/>
        <v>0</v>
      </c>
      <c r="O50" s="8"/>
      <c r="P50" s="8"/>
      <c r="Q50" s="8">
        <f t="shared" si="37"/>
        <v>0</v>
      </c>
      <c r="R50" s="8">
        <f t="shared" si="37"/>
        <v>174.71238800696577</v>
      </c>
      <c r="S50" s="8">
        <f t="shared" si="37"/>
        <v>0</v>
      </c>
      <c r="T50" s="8">
        <f t="shared" si="37"/>
        <v>0</v>
      </c>
      <c r="U50" s="8">
        <f t="shared" si="37"/>
        <v>87.356194003482884</v>
      </c>
      <c r="V50" s="8"/>
      <c r="W50" s="28">
        <f t="shared" si="42"/>
        <v>262.06858201044867</v>
      </c>
      <c r="X50" s="8"/>
      <c r="Y50" s="8">
        <f t="shared" si="38"/>
        <v>4193.09731217627</v>
      </c>
      <c r="Z50" s="8">
        <f t="shared" si="38"/>
        <v>2445.973432099036</v>
      </c>
      <c r="AA50" s="8">
        <f t="shared" si="38"/>
        <v>0</v>
      </c>
      <c r="AB50" s="8"/>
      <c r="AC50" s="27">
        <f t="shared" si="43"/>
        <v>6639.0707442753064</v>
      </c>
      <c r="AD50" s="8"/>
      <c r="AE50" s="8">
        <f t="shared" si="39"/>
        <v>0</v>
      </c>
      <c r="AF50" s="8">
        <f t="shared" si="39"/>
        <v>87.356194003482884</v>
      </c>
      <c r="AG50" s="8"/>
      <c r="AH50" s="28">
        <f t="shared" si="44"/>
        <v>87.356194003482884</v>
      </c>
      <c r="AI50" s="8"/>
      <c r="AJ50" s="8">
        <f t="shared" si="40"/>
        <v>8124.1260423367867</v>
      </c>
      <c r="AK50" s="8">
        <f t="shared" si="40"/>
        <v>2882.7544021164504</v>
      </c>
      <c r="AL50" s="8">
        <f t="shared" si="40"/>
        <v>0</v>
      </c>
      <c r="AM50" s="8">
        <f t="shared" si="40"/>
        <v>174.71238800696577</v>
      </c>
      <c r="AN50" s="8">
        <f t="shared" si="40"/>
        <v>174.71238800696577</v>
      </c>
      <c r="AO50" s="8">
        <f t="shared" si="40"/>
        <v>5154.0154462214005</v>
      </c>
      <c r="AP50" s="8"/>
      <c r="AQ50" s="28">
        <f t="shared" si="45"/>
        <v>16510.320666688571</v>
      </c>
      <c r="AS50" s="8">
        <f t="shared" si="41"/>
        <v>0</v>
      </c>
      <c r="AT50" s="8">
        <f t="shared" si="41"/>
        <v>5066.6592522035226</v>
      </c>
      <c r="AU50" s="8">
        <f t="shared" si="41"/>
        <v>0</v>
      </c>
      <c r="AV50" s="8">
        <f t="shared" si="41"/>
        <v>0</v>
      </c>
      <c r="AW50" s="8">
        <f t="shared" si="41"/>
        <v>0</v>
      </c>
      <c r="AX50" s="8">
        <f t="shared" si="41"/>
        <v>87.356194003482884</v>
      </c>
      <c r="AY50" s="8">
        <f t="shared" si="41"/>
        <v>0</v>
      </c>
    </row>
    <row r="51" spans="3:51" ht="15.75" thickBot="1" x14ac:dyDescent="0.3">
      <c r="C51" s="13" t="s">
        <v>44</v>
      </c>
      <c r="D51" s="18">
        <f t="shared" si="34"/>
        <v>35973.517509938945</v>
      </c>
      <c r="E51" s="19">
        <f t="shared" si="34"/>
        <v>46480.634010303082</v>
      </c>
      <c r="F51" s="19">
        <f t="shared" si="34"/>
        <v>0</v>
      </c>
      <c r="G51" s="20">
        <f t="shared" si="34"/>
        <v>0</v>
      </c>
      <c r="H51" s="8"/>
      <c r="I51" s="28">
        <f t="shared" si="35"/>
        <v>82454.151520242027</v>
      </c>
      <c r="J51" s="19"/>
      <c r="K51" s="8">
        <f t="shared" si="36"/>
        <v>0</v>
      </c>
      <c r="L51" s="8">
        <f t="shared" si="36"/>
        <v>0</v>
      </c>
      <c r="M51" s="8"/>
      <c r="N51" s="28">
        <f t="shared" si="4"/>
        <v>0</v>
      </c>
      <c r="O51" s="8"/>
      <c r="P51" s="8"/>
      <c r="Q51" s="8">
        <f t="shared" si="37"/>
        <v>0</v>
      </c>
      <c r="R51" s="8">
        <f t="shared" si="37"/>
        <v>59.362240115302022</v>
      </c>
      <c r="S51" s="8">
        <f t="shared" si="37"/>
        <v>59.362240115302022</v>
      </c>
      <c r="T51" s="8">
        <f t="shared" si="37"/>
        <v>0</v>
      </c>
      <c r="U51" s="8">
        <f t="shared" si="37"/>
        <v>237.44896046158692</v>
      </c>
      <c r="V51" s="8"/>
      <c r="W51" s="28">
        <f t="shared" si="42"/>
        <v>356.17344069219098</v>
      </c>
      <c r="X51" s="8"/>
      <c r="Y51" s="8">
        <f t="shared" si="38"/>
        <v>4155.3568080825071</v>
      </c>
      <c r="Z51" s="8">
        <f t="shared" si="38"/>
        <v>4095.9945679751595</v>
      </c>
      <c r="AA51" s="8">
        <f t="shared" si="38"/>
        <v>0</v>
      </c>
      <c r="AB51" s="8"/>
      <c r="AC51" s="27">
        <f t="shared" si="43"/>
        <v>8251.3513760576661</v>
      </c>
      <c r="AD51" s="8"/>
      <c r="AE51" s="8">
        <f t="shared" si="39"/>
        <v>0</v>
      </c>
      <c r="AF51" s="8">
        <f t="shared" si="39"/>
        <v>0</v>
      </c>
      <c r="AG51" s="8"/>
      <c r="AH51" s="28">
        <f t="shared" si="44"/>
        <v>0</v>
      </c>
      <c r="AI51" s="8"/>
      <c r="AJ51" s="8">
        <f t="shared" si="40"/>
        <v>4511.5302487644694</v>
      </c>
      <c r="AK51" s="8">
        <f t="shared" si="40"/>
        <v>2790.0252854241198</v>
      </c>
      <c r="AL51" s="8">
        <f t="shared" si="40"/>
        <v>118.72448023098288</v>
      </c>
      <c r="AM51" s="8">
        <f t="shared" si="40"/>
        <v>59.362240115302022</v>
      </c>
      <c r="AN51" s="8">
        <f t="shared" si="40"/>
        <v>356.17344069256978</v>
      </c>
      <c r="AO51" s="8">
        <f t="shared" si="40"/>
        <v>8607.5248167396294</v>
      </c>
      <c r="AP51" s="8"/>
      <c r="AQ51" s="28">
        <f t="shared" si="45"/>
        <v>16443.340511967072</v>
      </c>
      <c r="AS51" s="8">
        <f t="shared" si="41"/>
        <v>0</v>
      </c>
      <c r="AT51" s="8">
        <f t="shared" si="41"/>
        <v>4511.5302487644694</v>
      </c>
      <c r="AU51" s="8">
        <f t="shared" si="41"/>
        <v>0</v>
      </c>
      <c r="AV51" s="8">
        <f t="shared" si="41"/>
        <v>0</v>
      </c>
      <c r="AW51" s="8">
        <f t="shared" si="41"/>
        <v>0</v>
      </c>
      <c r="AX51" s="8">
        <f t="shared" si="41"/>
        <v>0</v>
      </c>
      <c r="AY51" s="8">
        <f t="shared" si="41"/>
        <v>0</v>
      </c>
    </row>
    <row r="52" spans="3:51" ht="15.75" thickBot="1" x14ac:dyDescent="0.3">
      <c r="C52" s="13" t="s">
        <v>44</v>
      </c>
      <c r="D52" s="18">
        <f t="shared" si="34"/>
        <v>24134.24642246051</v>
      </c>
      <c r="E52" s="19">
        <f t="shared" si="34"/>
        <v>31136.929322248085</v>
      </c>
      <c r="F52" s="19">
        <f t="shared" si="34"/>
        <v>0</v>
      </c>
      <c r="G52" s="20">
        <f t="shared" si="34"/>
        <v>0</v>
      </c>
      <c r="H52" s="8"/>
      <c r="I52" s="28">
        <f t="shared" si="35"/>
        <v>55271.175744708598</v>
      </c>
      <c r="J52" s="19"/>
      <c r="K52" s="8">
        <f t="shared" si="36"/>
        <v>0</v>
      </c>
      <c r="L52" s="8">
        <f t="shared" si="36"/>
        <v>0</v>
      </c>
      <c r="M52" s="8"/>
      <c r="N52" s="28">
        <f t="shared" si="4"/>
        <v>0</v>
      </c>
      <c r="O52" s="8"/>
      <c r="P52" s="8"/>
      <c r="Q52" s="8">
        <f t="shared" si="37"/>
        <v>0</v>
      </c>
      <c r="R52" s="8">
        <f t="shared" si="37"/>
        <v>0</v>
      </c>
      <c r="S52" s="8">
        <f t="shared" si="37"/>
        <v>0</v>
      </c>
      <c r="T52" s="8">
        <f t="shared" si="37"/>
        <v>0</v>
      </c>
      <c r="U52" s="8">
        <f t="shared" si="37"/>
        <v>375.14372677400939</v>
      </c>
      <c r="V52" s="8"/>
      <c r="W52" s="28">
        <f t="shared" si="42"/>
        <v>375.14372677400939</v>
      </c>
      <c r="X52" s="8"/>
      <c r="Y52" s="8">
        <f t="shared" si="38"/>
        <v>2751.0539963434931</v>
      </c>
      <c r="Z52" s="8">
        <f t="shared" si="38"/>
        <v>3376.2935409668421</v>
      </c>
      <c r="AA52" s="8">
        <f t="shared" si="38"/>
        <v>0</v>
      </c>
      <c r="AB52" s="8"/>
      <c r="AC52" s="27">
        <f t="shared" si="43"/>
        <v>6127.3475373103356</v>
      </c>
      <c r="AD52" s="8"/>
      <c r="AE52" s="8">
        <f t="shared" si="39"/>
        <v>0</v>
      </c>
      <c r="AF52" s="8">
        <f t="shared" si="39"/>
        <v>0</v>
      </c>
      <c r="AG52" s="8"/>
      <c r="AH52" s="28">
        <f t="shared" si="44"/>
        <v>0</v>
      </c>
      <c r="AI52" s="8"/>
      <c r="AJ52" s="8">
        <f t="shared" si="40"/>
        <v>5877.2517194753909</v>
      </c>
      <c r="AK52" s="8">
        <f t="shared" si="40"/>
        <v>3751.4372677400938</v>
      </c>
      <c r="AL52" s="8">
        <f t="shared" si="40"/>
        <v>125.0479089246698</v>
      </c>
      <c r="AM52" s="8">
        <f t="shared" si="40"/>
        <v>0</v>
      </c>
      <c r="AN52" s="8">
        <f t="shared" si="40"/>
        <v>125.0479089246698</v>
      </c>
      <c r="AO52" s="8">
        <f t="shared" si="40"/>
        <v>7127.7308087069359</v>
      </c>
      <c r="AP52" s="8"/>
      <c r="AQ52" s="28">
        <f t="shared" si="45"/>
        <v>17006.515613771757</v>
      </c>
      <c r="AS52" s="8">
        <f t="shared" si="41"/>
        <v>125.0479089246698</v>
      </c>
      <c r="AT52" s="8">
        <f t="shared" si="41"/>
        <v>2751.0539963434931</v>
      </c>
      <c r="AU52" s="8">
        <f t="shared" si="41"/>
        <v>0</v>
      </c>
      <c r="AV52" s="8">
        <f t="shared" si="41"/>
        <v>0</v>
      </c>
      <c r="AW52" s="8">
        <f t="shared" si="41"/>
        <v>0</v>
      </c>
      <c r="AX52" s="8">
        <f t="shared" si="41"/>
        <v>0</v>
      </c>
      <c r="AY52" s="8">
        <f t="shared" si="41"/>
        <v>0</v>
      </c>
    </row>
    <row r="53" spans="3:51" ht="15.75" thickBot="1" x14ac:dyDescent="0.3">
      <c r="C53" s="13" t="s">
        <v>45</v>
      </c>
      <c r="D53" s="18">
        <f t="shared" si="34"/>
        <v>16565.27083872302</v>
      </c>
      <c r="E53" s="19">
        <f t="shared" si="34"/>
        <v>22915.291326888808</v>
      </c>
      <c r="F53" s="19">
        <f t="shared" si="34"/>
        <v>0</v>
      </c>
      <c r="G53" s="20">
        <f t="shared" si="34"/>
        <v>0</v>
      </c>
      <c r="H53" s="8"/>
      <c r="I53" s="28">
        <f t="shared" si="35"/>
        <v>39480.562165611831</v>
      </c>
      <c r="J53" s="19"/>
      <c r="K53" s="8">
        <f t="shared" si="36"/>
        <v>0</v>
      </c>
      <c r="L53" s="8">
        <f t="shared" si="36"/>
        <v>0</v>
      </c>
      <c r="M53" s="8"/>
      <c r="N53" s="28">
        <f t="shared" si="4"/>
        <v>0</v>
      </c>
      <c r="O53" s="8"/>
      <c r="P53" s="8"/>
      <c r="Q53" s="8">
        <f t="shared" si="37"/>
        <v>138.04392365602516</v>
      </c>
      <c r="R53" s="8">
        <f t="shared" si="37"/>
        <v>276.08784731167145</v>
      </c>
      <c r="S53" s="8">
        <f t="shared" si="37"/>
        <v>0</v>
      </c>
      <c r="T53" s="8">
        <f t="shared" si="37"/>
        <v>0</v>
      </c>
      <c r="U53" s="8">
        <f t="shared" si="37"/>
        <v>138.04392365602516</v>
      </c>
      <c r="V53" s="8"/>
      <c r="W53" s="28">
        <f t="shared" si="42"/>
        <v>552.17569462372182</v>
      </c>
      <c r="X53" s="8"/>
      <c r="Y53" s="8">
        <f t="shared" si="38"/>
        <v>3589.1420150528656</v>
      </c>
      <c r="Z53" s="8">
        <f t="shared" si="38"/>
        <v>1656.5270838723015</v>
      </c>
      <c r="AA53" s="8">
        <f t="shared" si="38"/>
        <v>0</v>
      </c>
      <c r="AB53" s="8"/>
      <c r="AC53" s="27">
        <f t="shared" si="43"/>
        <v>5245.6690989251674</v>
      </c>
      <c r="AD53" s="8"/>
      <c r="AE53" s="8">
        <f t="shared" si="39"/>
        <v>0</v>
      </c>
      <c r="AF53" s="8">
        <f t="shared" si="39"/>
        <v>0</v>
      </c>
      <c r="AG53" s="8"/>
      <c r="AH53" s="28">
        <f t="shared" si="44"/>
        <v>0</v>
      </c>
      <c r="AI53" s="8"/>
      <c r="AJ53" s="8">
        <f t="shared" si="40"/>
        <v>45830.582653929145</v>
      </c>
      <c r="AK53" s="8">
        <f t="shared" si="40"/>
        <v>44450.143417198429</v>
      </c>
      <c r="AL53" s="8">
        <f t="shared" si="40"/>
        <v>966.30746559028182</v>
      </c>
      <c r="AM53" s="8">
        <f t="shared" si="40"/>
        <v>552.17569462410063</v>
      </c>
      <c r="AN53" s="8">
        <f t="shared" si="40"/>
        <v>138.04392365602516</v>
      </c>
      <c r="AO53" s="8">
        <f t="shared" si="40"/>
        <v>14356.568060219039</v>
      </c>
      <c r="AP53" s="8"/>
      <c r="AQ53" s="28">
        <f t="shared" si="45"/>
        <v>106293.82121521702</v>
      </c>
      <c r="AS53" s="8">
        <f t="shared" si="41"/>
        <v>138.04392365602516</v>
      </c>
      <c r="AT53" s="8">
        <f t="shared" si="41"/>
        <v>4003.2737860266229</v>
      </c>
      <c r="AU53" s="8">
        <f t="shared" si="41"/>
        <v>0</v>
      </c>
      <c r="AV53" s="8">
        <f t="shared" si="41"/>
        <v>0</v>
      </c>
      <c r="AW53" s="8">
        <f t="shared" si="41"/>
        <v>0</v>
      </c>
      <c r="AX53" s="8">
        <f t="shared" si="41"/>
        <v>0</v>
      </c>
      <c r="AY53" s="8">
        <f t="shared" si="41"/>
        <v>0</v>
      </c>
    </row>
    <row r="54" spans="3:51" ht="15.75" thickBot="1" x14ac:dyDescent="0.3">
      <c r="C54" s="14" t="s">
        <v>45</v>
      </c>
      <c r="D54" s="21">
        <f t="shared" si="34"/>
        <v>20786.511947152216</v>
      </c>
      <c r="E54" s="22">
        <f t="shared" si="34"/>
        <v>34082.388958388947</v>
      </c>
      <c r="F54" s="22">
        <f t="shared" si="34"/>
        <v>0</v>
      </c>
      <c r="G54" s="23">
        <f t="shared" si="34"/>
        <v>0</v>
      </c>
      <c r="H54" s="8"/>
      <c r="I54" s="29">
        <f t="shared" si="35"/>
        <v>54868.900905541159</v>
      </c>
      <c r="J54" s="19"/>
      <c r="K54" s="8">
        <f t="shared" si="36"/>
        <v>0</v>
      </c>
      <c r="L54" s="8">
        <f t="shared" si="36"/>
        <v>0</v>
      </c>
      <c r="M54" s="8"/>
      <c r="N54" s="29">
        <f t="shared" si="4"/>
        <v>0</v>
      </c>
      <c r="O54" s="8"/>
      <c r="P54" s="8"/>
      <c r="Q54" s="8">
        <f t="shared" si="37"/>
        <v>0</v>
      </c>
      <c r="R54" s="8">
        <f t="shared" si="37"/>
        <v>280.89881009664134</v>
      </c>
      <c r="S54" s="8">
        <f t="shared" si="37"/>
        <v>93.632936698754165</v>
      </c>
      <c r="T54" s="8">
        <f t="shared" si="37"/>
        <v>0</v>
      </c>
      <c r="U54" s="8">
        <f t="shared" si="37"/>
        <v>0</v>
      </c>
      <c r="V54" s="8"/>
      <c r="W54" s="29">
        <f t="shared" si="42"/>
        <v>374.53174679539552</v>
      </c>
      <c r="X54" s="8"/>
      <c r="Y54" s="8">
        <f t="shared" si="38"/>
        <v>3838.950404659528</v>
      </c>
      <c r="Z54" s="8">
        <f t="shared" si="38"/>
        <v>1310.8611137833161</v>
      </c>
      <c r="AA54" s="8">
        <f t="shared" si="38"/>
        <v>0</v>
      </c>
      <c r="AB54" s="8"/>
      <c r="AC54" s="27">
        <f t="shared" si="43"/>
        <v>5149.8115184428443</v>
      </c>
      <c r="AD54" s="8"/>
      <c r="AE54" s="8">
        <f t="shared" si="39"/>
        <v>0</v>
      </c>
      <c r="AF54" s="8">
        <f t="shared" si="39"/>
        <v>93.632936698754165</v>
      </c>
      <c r="AG54" s="8"/>
      <c r="AH54" s="29">
        <f t="shared" si="44"/>
        <v>93.632936698754165</v>
      </c>
      <c r="AI54" s="8"/>
      <c r="AJ54" s="8">
        <f t="shared" si="40"/>
        <v>32771.527844601842</v>
      </c>
      <c r="AK54" s="8">
        <f t="shared" si="40"/>
        <v>44662.91080553909</v>
      </c>
      <c r="AL54" s="8">
        <f t="shared" si="40"/>
        <v>842.69643028954522</v>
      </c>
      <c r="AM54" s="8">
        <f t="shared" si="40"/>
        <v>374.53174679577432</v>
      </c>
      <c r="AN54" s="8">
        <f t="shared" si="40"/>
        <v>280.89881009664134</v>
      </c>
      <c r="AO54" s="8">
        <f t="shared" si="40"/>
        <v>14044.940504851007</v>
      </c>
      <c r="AP54" s="8"/>
      <c r="AQ54" s="29">
        <f t="shared" si="45"/>
        <v>92977.506142173908</v>
      </c>
      <c r="AS54" s="8">
        <f t="shared" si="41"/>
        <v>93.632936698754165</v>
      </c>
      <c r="AT54" s="8">
        <f t="shared" si="41"/>
        <v>3183.5198477621875</v>
      </c>
      <c r="AU54" s="8">
        <f t="shared" si="41"/>
        <v>0</v>
      </c>
      <c r="AV54" s="8">
        <f t="shared" si="41"/>
        <v>0</v>
      </c>
      <c r="AW54" s="8">
        <f t="shared" si="41"/>
        <v>0</v>
      </c>
      <c r="AX54" s="8">
        <f t="shared" si="41"/>
        <v>0</v>
      </c>
      <c r="AY54" s="8">
        <f t="shared" si="41"/>
        <v>0</v>
      </c>
    </row>
    <row r="55" spans="3:51" ht="15.75" thickBot="1" x14ac:dyDescent="0.3"/>
    <row r="56" spans="3:51" ht="15.75" thickBot="1" x14ac:dyDescent="0.3">
      <c r="D56" s="24">
        <f>AVERAGE(D48:D54)</f>
        <v>30251.64964309792</v>
      </c>
      <c r="E56" s="25">
        <f t="shared" ref="E56:G56" si="46">AVERAGE(E48:E54)</f>
        <v>34847.940275512781</v>
      </c>
      <c r="F56" s="25">
        <f t="shared" si="46"/>
        <v>0</v>
      </c>
      <c r="G56" s="26">
        <f t="shared" si="46"/>
        <v>0</v>
      </c>
      <c r="I56" s="30">
        <f>AVERAGE(I48:I54)</f>
        <v>65099.589918610698</v>
      </c>
      <c r="J56" s="69"/>
      <c r="N56" s="30">
        <f t="shared" ref="N56" si="47">AVERAGE(N48:N54)</f>
        <v>0</v>
      </c>
      <c r="Q56" s="24">
        <f>AVERAGE(Q48:Q54)</f>
        <v>39.462343353171889</v>
      </c>
      <c r="R56" s="25">
        <f t="shared" ref="R56:T56" si="48">AVERAGE(R48:R54)</f>
        <v>145.60191814541585</v>
      </c>
      <c r="S56" s="25">
        <f t="shared" si="48"/>
        <v>21.856453830579454</v>
      </c>
      <c r="T56" s="25">
        <f t="shared" si="48"/>
        <v>9.870891415468348</v>
      </c>
      <c r="U56" s="26">
        <f>AVERAGE(U48:U54)</f>
        <v>149.32593208850867</v>
      </c>
      <c r="W56" s="30">
        <f t="shared" ref="W56" si="49">AVERAGE(W48:W54)</f>
        <v>366.11753883314424</v>
      </c>
      <c r="Y56" s="24">
        <f>AVERAGE(Y48:Y54)</f>
        <v>3549.7299651362887</v>
      </c>
      <c r="Z56" s="25">
        <f t="shared" ref="Z56:AA56" si="50">AVERAGE(Z48:Z54)</f>
        <v>2875.2312852573309</v>
      </c>
      <c r="AA56" s="26">
        <f t="shared" si="50"/>
        <v>0</v>
      </c>
      <c r="AC56" s="30">
        <f>AVERAGE(AC48:AC54)</f>
        <v>6424.9612503936205</v>
      </c>
      <c r="AE56" s="24">
        <f>AVERAGE(AE48:AE54)</f>
        <v>0</v>
      </c>
      <c r="AF56" s="26">
        <f t="shared" ref="AF56" si="51">AVERAGE(AF48:AF54)</f>
        <v>45.597372931202166</v>
      </c>
      <c r="AH56" s="30">
        <f>AVERAGE(AH48:AH54)</f>
        <v>45.597372931202166</v>
      </c>
      <c r="AJ56" s="24">
        <f>AVERAGE(AJ48:AJ54)</f>
        <v>15381.993254389818</v>
      </c>
      <c r="AK56" s="25">
        <f t="shared" ref="AK56:AO56" si="52">AVERAGE(AK48:AK54)</f>
        <v>14936.097220534324</v>
      </c>
      <c r="AL56" s="25">
        <f t="shared" si="52"/>
        <v>315.97602665927292</v>
      </c>
      <c r="AM56" s="25">
        <f t="shared" si="52"/>
        <v>188.54828158879621</v>
      </c>
      <c r="AN56" s="25">
        <f t="shared" si="52"/>
        <v>198.99832493356794</v>
      </c>
      <c r="AO56" s="26">
        <f t="shared" si="52"/>
        <v>9133.6555761912314</v>
      </c>
      <c r="AQ56" s="30">
        <f>AVERAGE(AQ50:AQ54)</f>
        <v>49846.300829963664</v>
      </c>
    </row>
    <row r="57" spans="3:51" ht="15.75" thickBot="1" x14ac:dyDescent="0.3">
      <c r="I57" s="31">
        <f>STDEV(I48:I54)/SQRT(5)</f>
        <v>7403.4777692161533</v>
      </c>
      <c r="J57" s="69"/>
      <c r="N57" s="31">
        <f>STDEV(N50:N54)</f>
        <v>0</v>
      </c>
      <c r="W57" s="31">
        <f>STDEV(W50:W54)</f>
        <v>104.99134728075973</v>
      </c>
      <c r="AC57" s="31">
        <f>STDEV(AC48:AC54)/SQRT(7)</f>
        <v>461.03408958816726</v>
      </c>
      <c r="AH57" s="31">
        <f>STDEV(AH48:AH54)/SQRT(7)</f>
        <v>22.329539487159547</v>
      </c>
      <c r="AQ57" s="31">
        <f>STDEV(AQ50:AQ54)/SQRT(6)</f>
        <v>18654.892403228936</v>
      </c>
    </row>
    <row r="60" spans="3:51" x14ac:dyDescent="0.25">
      <c r="E60" s="39" t="s">
        <v>75</v>
      </c>
      <c r="F60" s="39" t="s">
        <v>78</v>
      </c>
      <c r="G60" s="39" t="s">
        <v>76</v>
      </c>
      <c r="H60" s="39" t="s">
        <v>84</v>
      </c>
      <c r="I60" s="39" t="s">
        <v>85</v>
      </c>
      <c r="J60" s="39" t="s">
        <v>94</v>
      </c>
    </row>
    <row r="61" spans="3:51" x14ac:dyDescent="0.25">
      <c r="D61" t="s">
        <v>81</v>
      </c>
      <c r="E61" s="9">
        <f>I34</f>
        <v>102512.22808944373</v>
      </c>
      <c r="F61" s="9">
        <f>O34</f>
        <v>0</v>
      </c>
      <c r="G61" s="9">
        <f>W34</f>
        <v>4248.9467866134364</v>
      </c>
      <c r="H61" s="9">
        <f>AC34</f>
        <v>3554.0910931632002</v>
      </c>
      <c r="I61" s="9">
        <f>AH34</f>
        <v>1299.5740700892454</v>
      </c>
      <c r="J61" s="11">
        <f>AQ34</f>
        <v>1062465.495904576</v>
      </c>
    </row>
    <row r="62" spans="3:51" x14ac:dyDescent="0.25">
      <c r="E62" s="9">
        <f>I35</f>
        <v>6786.2120940317409</v>
      </c>
      <c r="F62" s="9">
        <f>O35</f>
        <v>0</v>
      </c>
      <c r="G62" s="9">
        <f>W35</f>
        <v>384.39024381094657</v>
      </c>
      <c r="H62" s="9">
        <f>AC35</f>
        <v>655.54528247852033</v>
      </c>
      <c r="I62" s="9">
        <f>AH35</f>
        <v>245.48627949299728</v>
      </c>
      <c r="J62" s="11">
        <f>AQ35</f>
        <v>22024.161833686594</v>
      </c>
    </row>
    <row r="63" spans="3:51" x14ac:dyDescent="0.25">
      <c r="D63" t="s">
        <v>82</v>
      </c>
      <c r="E63" s="9">
        <f>I45</f>
        <v>41495.170837420621</v>
      </c>
      <c r="F63" s="9">
        <f>O45</f>
        <v>0</v>
      </c>
      <c r="G63" s="9">
        <f>W45</f>
        <v>96.777902252458532</v>
      </c>
      <c r="H63" s="9">
        <f>AC45</f>
        <v>8086.322794808998</v>
      </c>
      <c r="I63" s="9">
        <f>AH45</f>
        <v>301.27931935244203</v>
      </c>
      <c r="J63" s="11">
        <f>AQ45</f>
        <v>9679.9841656803837</v>
      </c>
    </row>
    <row r="64" spans="3:51" x14ac:dyDescent="0.25">
      <c r="E64" s="9">
        <f>I46</f>
        <v>3598.8996912660364</v>
      </c>
      <c r="F64" s="9">
        <f>O46</f>
        <v>0</v>
      </c>
      <c r="G64" s="9">
        <f>W46</f>
        <v>61.23977870838506</v>
      </c>
      <c r="H64" s="9">
        <f>AC46</f>
        <v>764.61711056605964</v>
      </c>
      <c r="I64" s="9">
        <f>AH46</f>
        <v>276.05566891358177</v>
      </c>
      <c r="J64" s="11">
        <f>AQ46</f>
        <v>1133.0767845224375</v>
      </c>
    </row>
    <row r="65" spans="4:10" x14ac:dyDescent="0.25">
      <c r="D65" t="s">
        <v>83</v>
      </c>
      <c r="E65" s="9">
        <f>I56</f>
        <v>65099.589918610698</v>
      </c>
      <c r="F65" s="9">
        <f>O56</f>
        <v>0</v>
      </c>
      <c r="G65" s="9">
        <f>W56</f>
        <v>366.11753883314424</v>
      </c>
      <c r="H65" s="9">
        <f>AC56</f>
        <v>6424.9612503936205</v>
      </c>
      <c r="I65" s="9">
        <f>AH56</f>
        <v>45.597372931202166</v>
      </c>
      <c r="J65" s="11">
        <f>AQ56</f>
        <v>49846.300829963664</v>
      </c>
    </row>
    <row r="66" spans="4:10" x14ac:dyDescent="0.25">
      <c r="E66" s="9">
        <f>I57</f>
        <v>7403.4777692161533</v>
      </c>
      <c r="F66" s="9">
        <f>O57</f>
        <v>0</v>
      </c>
      <c r="G66" s="9">
        <f>W57</f>
        <v>104.99134728075973</v>
      </c>
      <c r="H66" s="9">
        <f>AC57</f>
        <v>461.03408958816726</v>
      </c>
      <c r="I66" s="9">
        <f>AH57</f>
        <v>22.329539487159547</v>
      </c>
      <c r="J66" s="11">
        <f>AQ57</f>
        <v>18654.892403228936</v>
      </c>
    </row>
  </sheetData>
  <conditionalFormatting sqref="AS3:AS23 D3:J23 P3:AB23">
    <cfRule type="colorScale" priority="3">
      <colorScale>
        <cfvo type="min"/>
        <cfvo type="max"/>
        <color theme="0"/>
        <color theme="4" tint="-0.499984740745262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"/>
  <sheetViews>
    <sheetView topLeftCell="A34" zoomScale="55" zoomScaleNormal="55" workbookViewId="0">
      <selection activeCell="J100" sqref="J100"/>
    </sheetView>
  </sheetViews>
  <sheetFormatPr defaultRowHeight="15" x14ac:dyDescent="0.25"/>
  <cols>
    <col min="3" max="3" width="19.7109375" bestFit="1" customWidth="1"/>
    <col min="4" max="4" width="14.42578125" bestFit="1" customWidth="1"/>
    <col min="5" max="5" width="11.7109375" bestFit="1" customWidth="1"/>
    <col min="6" max="6" width="11.42578125" bestFit="1" customWidth="1"/>
    <col min="7" max="7" width="25.28515625" bestFit="1" customWidth="1"/>
    <col min="8" max="8" width="21.140625" bestFit="1" customWidth="1"/>
    <col min="28" max="29" width="9.140625" style="11"/>
    <col min="40" max="40" width="12.5703125" bestFit="1" customWidth="1"/>
  </cols>
  <sheetData>
    <row r="1" spans="1:47" s="10" customFormat="1" ht="211.5" customHeight="1" x14ac:dyDescent="0.25">
      <c r="A1" s="10" t="s">
        <v>0</v>
      </c>
      <c r="B1" s="10" t="s">
        <v>46</v>
      </c>
      <c r="C1" s="10" t="s">
        <v>47</v>
      </c>
      <c r="D1" s="10" t="s">
        <v>48</v>
      </c>
      <c r="E1" s="10" t="s">
        <v>49</v>
      </c>
      <c r="I1" s="10" t="s">
        <v>65</v>
      </c>
      <c r="J1" s="10" t="s">
        <v>66</v>
      </c>
      <c r="N1" s="10" t="s">
        <v>50</v>
      </c>
      <c r="O1" s="10" t="s">
        <v>51</v>
      </c>
      <c r="P1" s="10" t="s">
        <v>52</v>
      </c>
      <c r="Q1" s="10" t="s">
        <v>53</v>
      </c>
      <c r="R1" s="10" t="s">
        <v>54</v>
      </c>
      <c r="V1" s="10" t="s">
        <v>55</v>
      </c>
      <c r="W1" s="10" t="s">
        <v>56</v>
      </c>
      <c r="X1" s="10" t="s">
        <v>57</v>
      </c>
      <c r="AB1" s="33" t="s">
        <v>69</v>
      </c>
      <c r="AC1" s="33" t="s">
        <v>70</v>
      </c>
      <c r="AG1" s="10" t="s">
        <v>88</v>
      </c>
      <c r="AH1" s="10" t="s">
        <v>89</v>
      </c>
      <c r="AI1" s="10" t="s">
        <v>90</v>
      </c>
      <c r="AJ1" s="10" t="s">
        <v>91</v>
      </c>
      <c r="AK1" s="10" t="s">
        <v>92</v>
      </c>
      <c r="AL1" s="10" t="s">
        <v>93</v>
      </c>
      <c r="AO1" s="10" t="s">
        <v>58</v>
      </c>
      <c r="AP1" s="10" t="s">
        <v>59</v>
      </c>
      <c r="AQ1" s="10" t="s">
        <v>60</v>
      </c>
      <c r="AR1" s="10" t="s">
        <v>61</v>
      </c>
      <c r="AS1" s="10" t="s">
        <v>62</v>
      </c>
      <c r="AT1" s="10" t="s">
        <v>63</v>
      </c>
      <c r="AU1" s="10" t="s">
        <v>64</v>
      </c>
    </row>
    <row r="2" spans="1:47" ht="15.75" thickBot="1" x14ac:dyDescent="0.3"/>
    <row r="3" spans="1:47" x14ac:dyDescent="0.25">
      <c r="A3" s="12" t="s">
        <v>37</v>
      </c>
      <c r="B3" s="15">
        <v>42258.70293900153</v>
      </c>
      <c r="C3" s="16">
        <v>48990.177743430606</v>
      </c>
      <c r="D3" s="16">
        <v>0</v>
      </c>
      <c r="E3" s="17">
        <v>0</v>
      </c>
      <c r="F3" s="11"/>
      <c r="G3" s="27">
        <f>SUM(B3:E3)</f>
        <v>91248.880682432136</v>
      </c>
      <c r="H3" s="11"/>
      <c r="I3" s="11">
        <v>747.94164493761843</v>
      </c>
      <c r="J3" s="11">
        <v>0</v>
      </c>
      <c r="K3" s="11"/>
      <c r="L3" s="27">
        <f>SUM(I3:J3)</f>
        <v>747.94164493761843</v>
      </c>
      <c r="M3" s="11"/>
      <c r="N3" s="11">
        <v>1121.9124674076136</v>
      </c>
      <c r="O3" s="11">
        <v>373.97082246880922</v>
      </c>
      <c r="P3" s="11">
        <v>373.97082246880922</v>
      </c>
      <c r="Q3" s="11">
        <v>373.97082246880922</v>
      </c>
      <c r="R3" s="11">
        <v>1869.8541123440464</v>
      </c>
      <c r="S3" s="11"/>
      <c r="T3" s="27">
        <f>SUM(O3:R3)</f>
        <v>2991.7665797504742</v>
      </c>
      <c r="U3" s="11"/>
      <c r="V3" s="11">
        <v>1121.9124674076136</v>
      </c>
      <c r="W3" s="11">
        <v>1121.9124674076136</v>
      </c>
      <c r="X3" s="11">
        <v>0</v>
      </c>
      <c r="Y3" s="11"/>
      <c r="Z3" s="27">
        <f>SUM(V3:X3)</f>
        <v>2243.8249348152272</v>
      </c>
      <c r="AA3" s="11"/>
      <c r="AB3" s="11">
        <v>1869.8541123440464</v>
      </c>
      <c r="AC3" s="11">
        <v>0</v>
      </c>
      <c r="AE3" s="27">
        <f>SUM(AB3:AC3)</f>
        <v>1869.8541123440464</v>
      </c>
      <c r="AG3">
        <v>296558.86221781553</v>
      </c>
      <c r="AH3">
        <v>533282.39284057415</v>
      </c>
      <c r="AI3">
        <v>7853.3872718497378</v>
      </c>
      <c r="AJ3">
        <v>3365.7374022263971</v>
      </c>
      <c r="AK3">
        <v>2991.7665797528457</v>
      </c>
      <c r="AL3">
        <v>173148.49080308477</v>
      </c>
      <c r="AN3" s="27">
        <f>SUM(AG3:AL3)</f>
        <v>1017200.6371153034</v>
      </c>
      <c r="AO3" s="11">
        <v>0</v>
      </c>
      <c r="AP3" s="11">
        <v>2243.8249348175982</v>
      </c>
      <c r="AQ3" s="11">
        <v>747.94164493761843</v>
      </c>
      <c r="AR3" s="11">
        <v>373.97082246880922</v>
      </c>
      <c r="AS3" s="11">
        <v>0</v>
      </c>
      <c r="AT3" s="11">
        <v>0</v>
      </c>
      <c r="AU3" s="11">
        <v>0</v>
      </c>
    </row>
    <row r="4" spans="1:47" x14ac:dyDescent="0.25">
      <c r="A4" s="13" t="s">
        <v>38</v>
      </c>
      <c r="B4" s="18">
        <v>37881.730630051927</v>
      </c>
      <c r="C4" s="19">
        <v>61084.290640881663</v>
      </c>
      <c r="D4" s="19">
        <v>0</v>
      </c>
      <c r="E4" s="20">
        <v>0</v>
      </c>
      <c r="F4" s="11"/>
      <c r="G4" s="28">
        <f t="shared" ref="G4:G7" si="0">SUM(B4:E4)</f>
        <v>98966.02127093359</v>
      </c>
      <c r="H4" s="11"/>
      <c r="I4" s="11">
        <v>0</v>
      </c>
      <c r="J4" s="11">
        <v>236.76081643723168</v>
      </c>
      <c r="K4" s="11"/>
      <c r="L4" s="28">
        <f t="shared" ref="L4:L29" si="1">SUM(I4:J4)</f>
        <v>236.76081643723168</v>
      </c>
      <c r="M4" s="11"/>
      <c r="N4" s="11">
        <v>710.28244931288077</v>
      </c>
      <c r="O4" s="11">
        <v>1657.3257150677359</v>
      </c>
      <c r="P4" s="11">
        <v>0</v>
      </c>
      <c r="Q4" s="11">
        <v>947.04326575129801</v>
      </c>
      <c r="R4" s="11">
        <v>1657.3257150677359</v>
      </c>
      <c r="S4" s="11"/>
      <c r="T4" s="28">
        <f t="shared" ref="T4:T7" si="2">SUM(O4:R4)</f>
        <v>4261.6946958867702</v>
      </c>
      <c r="U4" s="11"/>
      <c r="V4" s="11">
        <v>710.28244931288077</v>
      </c>
      <c r="W4" s="11">
        <v>1657.3257150677359</v>
      </c>
      <c r="X4" s="11">
        <v>0</v>
      </c>
      <c r="Y4" s="11"/>
      <c r="Z4" s="28">
        <f t="shared" ref="Z4:Z29" si="3">SUM(V4:X4)</f>
        <v>2367.6081643806165</v>
      </c>
      <c r="AA4" s="11"/>
      <c r="AB4" s="11">
        <v>1183.8040821885297</v>
      </c>
      <c r="AC4" s="11">
        <v>0</v>
      </c>
      <c r="AE4" s="28">
        <f t="shared" ref="AE4:AE29" si="4">SUM(AB4:AC4)</f>
        <v>1183.8040821885297</v>
      </c>
      <c r="AG4">
        <v>307315.53973598202</v>
      </c>
      <c r="AH4">
        <v>496250.67125334818</v>
      </c>
      <c r="AI4">
        <v>6629.3028602590875</v>
      </c>
      <c r="AJ4">
        <v>2604.3689808190343</v>
      </c>
      <c r="AK4">
        <v>5208.7379616262115</v>
      </c>
      <c r="AL4">
        <v>188935.13151736619</v>
      </c>
      <c r="AN4" s="28">
        <f t="shared" ref="AN4:AN7" si="5">SUM(AG4:AL4)</f>
        <v>1006943.7523094007</v>
      </c>
      <c r="AO4" s="11">
        <v>0</v>
      </c>
      <c r="AP4" s="11">
        <v>947.04326575129801</v>
      </c>
      <c r="AQ4" s="11">
        <v>236.76081643723168</v>
      </c>
      <c r="AR4" s="11">
        <v>236.76081643723168</v>
      </c>
      <c r="AS4" s="11">
        <v>0</v>
      </c>
      <c r="AT4" s="11">
        <v>0</v>
      </c>
      <c r="AU4" s="11">
        <v>0</v>
      </c>
    </row>
    <row r="5" spans="1:47" x14ac:dyDescent="0.25">
      <c r="A5" s="13" t="s">
        <v>39</v>
      </c>
      <c r="B5" s="18">
        <v>49886.677220769743</v>
      </c>
      <c r="C5" s="19">
        <v>64361.568020545405</v>
      </c>
      <c r="D5" s="19">
        <v>0</v>
      </c>
      <c r="E5" s="20">
        <v>0</v>
      </c>
      <c r="F5" s="11"/>
      <c r="G5" s="28">
        <f t="shared" si="0"/>
        <v>114248.24524131515</v>
      </c>
      <c r="H5" s="11"/>
      <c r="I5" s="11">
        <v>0</v>
      </c>
      <c r="J5" s="11">
        <v>0</v>
      </c>
      <c r="K5" s="11"/>
      <c r="L5" s="28">
        <f t="shared" si="1"/>
        <v>0</v>
      </c>
      <c r="M5" s="11"/>
      <c r="N5" s="11">
        <v>0</v>
      </c>
      <c r="O5" s="11">
        <v>1292.4009642648373</v>
      </c>
      <c r="P5" s="11">
        <v>0</v>
      </c>
      <c r="Q5" s="11">
        <v>775.44057856008794</v>
      </c>
      <c r="R5" s="11">
        <v>516.96038570712062</v>
      </c>
      <c r="S5" s="11"/>
      <c r="T5" s="28">
        <f t="shared" si="2"/>
        <v>2584.8019285320461</v>
      </c>
      <c r="U5" s="11"/>
      <c r="V5" s="11">
        <v>2326.3217356790783</v>
      </c>
      <c r="W5" s="11">
        <v>1033.9207714142412</v>
      </c>
      <c r="X5" s="11">
        <v>258.48019285296743</v>
      </c>
      <c r="Y5" s="11"/>
      <c r="Z5" s="28">
        <f t="shared" si="3"/>
        <v>3618.7226999462869</v>
      </c>
      <c r="AA5" s="11"/>
      <c r="AB5" s="11">
        <v>1292.4009642648373</v>
      </c>
      <c r="AC5" s="11">
        <v>0</v>
      </c>
      <c r="AE5" s="28">
        <f t="shared" si="4"/>
        <v>1292.4009642648373</v>
      </c>
      <c r="AG5">
        <v>396767.09603034845</v>
      </c>
      <c r="AH5">
        <v>502227.01471452991</v>
      </c>
      <c r="AI5">
        <v>8271.36617131393</v>
      </c>
      <c r="AJ5">
        <v>3618.7226999439154</v>
      </c>
      <c r="AK5">
        <v>2843.2821213921275</v>
      </c>
      <c r="AL5">
        <v>173440.20940425579</v>
      </c>
      <c r="AN5" s="28">
        <f t="shared" si="5"/>
        <v>1087167.6911417842</v>
      </c>
      <c r="AO5" s="11">
        <v>0</v>
      </c>
      <c r="AP5" s="11">
        <v>0</v>
      </c>
      <c r="AQ5" s="11">
        <v>1292.4009642648373</v>
      </c>
      <c r="AR5" s="11">
        <v>0</v>
      </c>
      <c r="AS5" s="11">
        <v>0</v>
      </c>
      <c r="AT5" s="11">
        <v>0</v>
      </c>
      <c r="AU5" s="11">
        <v>0</v>
      </c>
    </row>
    <row r="6" spans="1:47" x14ac:dyDescent="0.25">
      <c r="A6" s="13" t="s">
        <v>40</v>
      </c>
      <c r="B6" s="18">
        <v>41005.262675796243</v>
      </c>
      <c r="C6" s="19">
        <v>47961.512593993684</v>
      </c>
      <c r="D6" s="19">
        <v>0</v>
      </c>
      <c r="E6" s="20">
        <v>0</v>
      </c>
      <c r="F6" s="11"/>
      <c r="G6" s="28">
        <f t="shared" si="0"/>
        <v>88966.775269789927</v>
      </c>
      <c r="H6" s="11"/>
      <c r="I6" s="11">
        <v>732.23683349627686</v>
      </c>
      <c r="J6" s="11">
        <v>0</v>
      </c>
      <c r="K6" s="11"/>
      <c r="L6" s="28">
        <f t="shared" si="1"/>
        <v>732.23683349627686</v>
      </c>
      <c r="M6" s="11"/>
      <c r="N6" s="11">
        <v>0</v>
      </c>
      <c r="O6" s="11">
        <v>2562.8289172387476</v>
      </c>
      <c r="P6" s="11">
        <v>366.11841674754561</v>
      </c>
      <c r="Q6" s="11">
        <v>0</v>
      </c>
      <c r="R6" s="11">
        <v>732.23683349627686</v>
      </c>
      <c r="S6" s="11"/>
      <c r="T6" s="28">
        <f t="shared" si="2"/>
        <v>3661.18416748257</v>
      </c>
      <c r="U6" s="11"/>
      <c r="V6" s="11">
        <v>2562.8289172387476</v>
      </c>
      <c r="W6" s="11">
        <v>3661.1841674754555</v>
      </c>
      <c r="X6" s="11">
        <v>0</v>
      </c>
      <c r="Y6" s="11"/>
      <c r="Z6" s="28">
        <f t="shared" si="3"/>
        <v>6224.0130847142027</v>
      </c>
      <c r="AA6" s="11"/>
      <c r="AB6" s="11">
        <v>366.11841674754561</v>
      </c>
      <c r="AC6" s="11">
        <v>0</v>
      </c>
      <c r="AE6" s="28">
        <f t="shared" si="4"/>
        <v>366.11841674754561</v>
      </c>
      <c r="AG6">
        <v>311566.77265210793</v>
      </c>
      <c r="AH6">
        <v>558696.7039577387</v>
      </c>
      <c r="AI6">
        <v>5857.8946679725859</v>
      </c>
      <c r="AJ6">
        <v>2196.7105004852733</v>
      </c>
      <c r="AK6">
        <v>2562.8289172387476</v>
      </c>
      <c r="AL6">
        <v>180862.49787360764</v>
      </c>
      <c r="AN6" s="28">
        <f t="shared" si="5"/>
        <v>1061743.4085691508</v>
      </c>
      <c r="AO6" s="11">
        <v>0</v>
      </c>
      <c r="AP6" s="11">
        <v>1830.5920837436563</v>
      </c>
      <c r="AQ6" s="11">
        <v>732.23683349627686</v>
      </c>
      <c r="AR6" s="11">
        <v>0</v>
      </c>
      <c r="AS6" s="11">
        <v>0</v>
      </c>
      <c r="AT6" s="11">
        <v>0</v>
      </c>
      <c r="AU6" s="11">
        <v>0</v>
      </c>
    </row>
    <row r="7" spans="1:47" ht="15.75" thickBot="1" x14ac:dyDescent="0.3">
      <c r="A7" s="14" t="s">
        <v>41</v>
      </c>
      <c r="B7" s="21">
        <v>48723.90285808756</v>
      </c>
      <c r="C7" s="22">
        <v>70407.315124660279</v>
      </c>
      <c r="D7" s="22">
        <v>0</v>
      </c>
      <c r="E7" s="23">
        <v>0</v>
      </c>
      <c r="F7" s="11"/>
      <c r="G7" s="29">
        <f t="shared" si="0"/>
        <v>119131.21798274784</v>
      </c>
      <c r="H7" s="11"/>
      <c r="I7" s="11">
        <v>0</v>
      </c>
      <c r="J7" s="11">
        <v>0</v>
      </c>
      <c r="K7" s="11"/>
      <c r="L7" s="29">
        <f t="shared" si="1"/>
        <v>0</v>
      </c>
      <c r="M7" s="11"/>
      <c r="N7" s="11">
        <v>510.19793568692353</v>
      </c>
      <c r="O7" s="11">
        <v>1530.5938070619563</v>
      </c>
      <c r="P7" s="11">
        <v>510.19793568692353</v>
      </c>
      <c r="Q7" s="11">
        <v>255.09896784286894</v>
      </c>
      <c r="R7" s="11">
        <v>0</v>
      </c>
      <c r="S7" s="11"/>
      <c r="T7" s="29">
        <f t="shared" si="2"/>
        <v>2295.8907105917488</v>
      </c>
      <c r="U7" s="11"/>
      <c r="V7" s="11">
        <v>1530.5938070619563</v>
      </c>
      <c r="W7" s="11">
        <v>1785.6927748977112</v>
      </c>
      <c r="X7" s="11">
        <v>0</v>
      </c>
      <c r="Y7" s="11"/>
      <c r="Z7" s="29">
        <f t="shared" si="3"/>
        <v>3316.2865819596673</v>
      </c>
      <c r="AA7" s="11"/>
      <c r="AB7" s="11">
        <v>1275.4948392143447</v>
      </c>
      <c r="AC7" s="11">
        <v>510.19793568692353</v>
      </c>
      <c r="AE7" s="29">
        <f t="shared" si="4"/>
        <v>1785.6927749012682</v>
      </c>
      <c r="AG7">
        <v>387750.4311217299</v>
      </c>
      <c r="AH7">
        <v>556881.0468012105</v>
      </c>
      <c r="AI7">
        <v>3571.3855498072794</v>
      </c>
      <c r="AJ7">
        <v>3826.484517643034</v>
      </c>
      <c r="AK7">
        <v>2806.088646276301</v>
      </c>
      <c r="AL7">
        <v>184436.55375057447</v>
      </c>
      <c r="AN7" s="29">
        <f t="shared" si="5"/>
        <v>1139271.9903872414</v>
      </c>
      <c r="AO7" s="11">
        <v>0</v>
      </c>
      <c r="AP7" s="11">
        <v>2295.8907105929343</v>
      </c>
      <c r="AQ7" s="11">
        <v>255.09896784286894</v>
      </c>
      <c r="AR7" s="11">
        <v>0</v>
      </c>
      <c r="AS7" s="11">
        <v>0</v>
      </c>
      <c r="AT7" s="11">
        <v>0</v>
      </c>
      <c r="AU7" s="11">
        <v>0</v>
      </c>
    </row>
    <row r="8" spans="1:47" ht="15.75" thickBot="1" x14ac:dyDescent="0.3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E8" s="11"/>
      <c r="AN8" s="11"/>
      <c r="AO8" s="11"/>
      <c r="AP8" s="11"/>
      <c r="AQ8" s="11"/>
      <c r="AR8" s="11"/>
      <c r="AS8" s="11"/>
      <c r="AT8" s="11"/>
      <c r="AU8" s="11"/>
    </row>
    <row r="9" spans="1:47" ht="15.75" thickBot="1" x14ac:dyDescent="0.3">
      <c r="B9" s="24">
        <f>AVERAGE(B3:B7)</f>
        <v>43951.255264741405</v>
      </c>
      <c r="C9" s="25">
        <f t="shared" ref="C9:E9" si="6">AVERAGE(C3:C7)</f>
        <v>58560.97282470233</v>
      </c>
      <c r="D9" s="25">
        <f t="shared" si="6"/>
        <v>0</v>
      </c>
      <c r="E9" s="26">
        <f t="shared" si="6"/>
        <v>0</v>
      </c>
      <c r="F9" s="11"/>
      <c r="G9" s="30">
        <f>AVERAGE(G3:G7)</f>
        <v>102512.22808944373</v>
      </c>
      <c r="H9" s="11"/>
      <c r="I9" s="11">
        <f>AVERAGE(I3:I7)</f>
        <v>296.03569568677904</v>
      </c>
      <c r="J9" s="11">
        <f t="shared" ref="J9:X9" si="7">AVERAGE(J3:J7)</f>
        <v>47.352163287446338</v>
      </c>
      <c r="K9" s="11"/>
      <c r="L9" s="30">
        <f>AVERAGE(L3:L4,L5:L7)</f>
        <v>343.38785897422542</v>
      </c>
      <c r="M9" s="11"/>
      <c r="N9" s="11">
        <f t="shared" si="7"/>
        <v>468.47857048148364</v>
      </c>
      <c r="O9" s="11">
        <f t="shared" si="7"/>
        <v>1483.4240452204172</v>
      </c>
      <c r="P9" s="11">
        <f t="shared" si="7"/>
        <v>250.05743498065567</v>
      </c>
      <c r="Q9" s="11">
        <f t="shared" si="7"/>
        <v>470.31072692461282</v>
      </c>
      <c r="R9" s="11">
        <f t="shared" si="7"/>
        <v>955.275409323036</v>
      </c>
      <c r="S9" s="11"/>
      <c r="T9" s="30">
        <f>AVERAGE(T3:T7)</f>
        <v>3159.0676164487218</v>
      </c>
      <c r="U9" s="11"/>
      <c r="V9" s="11">
        <f t="shared" si="7"/>
        <v>1650.3878753400554</v>
      </c>
      <c r="W9" s="11">
        <f t="shared" si="7"/>
        <v>1852.0071792525512</v>
      </c>
      <c r="X9" s="11">
        <f t="shared" si="7"/>
        <v>51.696038570593487</v>
      </c>
      <c r="Y9" s="11"/>
      <c r="Z9" s="30">
        <f>AVERAGE(Z3:Z7)</f>
        <v>3554.0910931632002</v>
      </c>
      <c r="AA9" s="11"/>
      <c r="AE9" s="30">
        <f>AVERAGE(AE3:AE5,AE6:AE7)</f>
        <v>1299.5740700892454</v>
      </c>
      <c r="AN9" s="30">
        <f>AVERAGE(AN3:AN5,AN6:AN7)</f>
        <v>1062465.495904576</v>
      </c>
      <c r="AO9" s="11"/>
      <c r="AP9" s="11"/>
      <c r="AQ9" s="11"/>
      <c r="AR9" s="11"/>
      <c r="AS9" s="11"/>
      <c r="AT9" s="11"/>
      <c r="AU9" s="11"/>
    </row>
    <row r="10" spans="1:47" ht="15.75" thickBot="1" x14ac:dyDescent="0.3">
      <c r="B10" s="19"/>
      <c r="C10" s="19"/>
      <c r="D10" s="19"/>
      <c r="E10" s="19"/>
      <c r="F10" s="11"/>
      <c r="G10" s="31">
        <f>STDEV(G3:G7)/SQRT(4)</f>
        <v>6786.2120940317409</v>
      </c>
      <c r="H10" s="11"/>
      <c r="I10" s="11"/>
      <c r="J10" s="11"/>
      <c r="K10" s="11"/>
      <c r="L10" s="31">
        <f>STDEV(L3:L4,L5:L7)/SQRT(5)</f>
        <v>167.64054705025225</v>
      </c>
      <c r="M10" s="11"/>
      <c r="N10" s="11"/>
      <c r="O10" s="11"/>
      <c r="P10" s="11"/>
      <c r="Q10" s="11"/>
      <c r="R10" s="11"/>
      <c r="S10" s="11"/>
      <c r="T10" s="31">
        <f>STDEV(T3:T7)/SQRT(6)</f>
        <v>327.28380874096086</v>
      </c>
      <c r="U10" s="11"/>
      <c r="V10" s="11"/>
      <c r="W10" s="11"/>
      <c r="X10" s="11"/>
      <c r="Y10" s="11"/>
      <c r="Z10" s="31">
        <f>STDEV(Z3:Z7)/SQRT(6)</f>
        <v>655.54528247852033</v>
      </c>
      <c r="AA10" s="11"/>
      <c r="AE10" s="31">
        <f>STDEV(AE3:AE5,AE6:AE7)/SQRT(5)</f>
        <v>268.91674567266494</v>
      </c>
      <c r="AN10" s="31">
        <f>STDEV(AN3:AN5,AN6:AN7)/SQRT(5)</f>
        <v>24126.260492908976</v>
      </c>
      <c r="AO10" s="11"/>
      <c r="AP10" s="11"/>
      <c r="AQ10" s="11"/>
      <c r="AR10" s="11"/>
      <c r="AS10" s="11"/>
      <c r="AT10" s="11"/>
      <c r="AU10" s="11"/>
    </row>
    <row r="11" spans="1:47" ht="15.75" thickBot="1" x14ac:dyDescent="0.3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E11" s="11"/>
      <c r="AN11" s="11"/>
      <c r="AO11" s="11"/>
      <c r="AP11" s="11"/>
      <c r="AQ11" s="11"/>
      <c r="AR11" s="11"/>
      <c r="AS11" s="11"/>
      <c r="AT11" s="11"/>
      <c r="AU11" s="11"/>
    </row>
    <row r="12" spans="1:47" x14ac:dyDescent="0.25">
      <c r="A12" s="12" t="s">
        <v>42</v>
      </c>
      <c r="B12" s="15">
        <v>25346.986274928549</v>
      </c>
      <c r="C12" s="16">
        <v>28111.547277966598</v>
      </c>
      <c r="D12" s="16">
        <v>0</v>
      </c>
      <c r="E12" s="17">
        <v>10.354161060031085</v>
      </c>
      <c r="F12" s="11"/>
      <c r="G12" s="27">
        <f>SUM(B12:E12)</f>
        <v>53468.887713955177</v>
      </c>
      <c r="H12" s="11"/>
      <c r="I12" s="11">
        <v>0</v>
      </c>
      <c r="J12" s="11">
        <v>0</v>
      </c>
      <c r="K12" s="11"/>
      <c r="L12" s="27">
        <f t="shared" si="1"/>
        <v>0</v>
      </c>
      <c r="M12" s="11"/>
      <c r="N12" s="11">
        <v>0</v>
      </c>
      <c r="O12" s="11">
        <v>20.708322120062171</v>
      </c>
      <c r="P12" s="11">
        <v>41.416644240279105</v>
      </c>
      <c r="Q12" s="11">
        <v>0</v>
      </c>
      <c r="R12" s="11">
        <v>0</v>
      </c>
      <c r="S12" s="11"/>
      <c r="T12" s="27">
        <f>SUM(O12:R12)</f>
        <v>62.124966360341276</v>
      </c>
      <c r="U12" s="11"/>
      <c r="V12" s="11">
        <v>3675.7271763102617</v>
      </c>
      <c r="W12" s="11">
        <v>5301.3304627154866</v>
      </c>
      <c r="X12" s="11">
        <v>0</v>
      </c>
      <c r="Y12" s="11"/>
      <c r="Z12" s="27">
        <f t="shared" si="3"/>
        <v>8977.0576390257484</v>
      </c>
      <c r="AA12" s="11"/>
      <c r="AB12" s="11">
        <v>0</v>
      </c>
      <c r="AC12" s="11">
        <v>41.416644240279105</v>
      </c>
      <c r="AE12" s="27">
        <f t="shared" si="4"/>
        <v>41.416644240279105</v>
      </c>
      <c r="AG12">
        <v>2236.4987889665599</v>
      </c>
      <c r="AH12">
        <v>1449.5825484020304</v>
      </c>
      <c r="AI12">
        <v>0</v>
      </c>
      <c r="AJ12">
        <v>41.416644240279105</v>
      </c>
      <c r="AK12">
        <v>20.708322120062171</v>
      </c>
      <c r="AL12">
        <v>3064.831673768273</v>
      </c>
      <c r="AN12" s="27">
        <f>SUM(AG12:AL12)</f>
        <v>6813.0379774972052</v>
      </c>
      <c r="AO12" s="11">
        <v>10.354161060031085</v>
      </c>
      <c r="AP12" s="11">
        <v>2112.2488562472699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</row>
    <row r="13" spans="1:47" x14ac:dyDescent="0.25">
      <c r="A13" s="13" t="s">
        <v>42</v>
      </c>
      <c r="B13" s="18">
        <v>23042.266183696713</v>
      </c>
      <c r="C13" s="19">
        <v>27905.082099082229</v>
      </c>
      <c r="D13" s="19">
        <v>0</v>
      </c>
      <c r="E13" s="20">
        <v>0</v>
      </c>
      <c r="F13" s="11"/>
      <c r="G13" s="28">
        <f t="shared" ref="G13:G18" si="8">SUM(B13:E13)</f>
        <v>50947.348282778941</v>
      </c>
      <c r="H13" s="11"/>
      <c r="I13" s="11">
        <v>0</v>
      </c>
      <c r="J13" s="11">
        <v>0</v>
      </c>
      <c r="K13" s="11"/>
      <c r="L13" s="28">
        <f t="shared" si="1"/>
        <v>0</v>
      </c>
      <c r="M13" s="11"/>
      <c r="N13" s="11">
        <v>0</v>
      </c>
      <c r="O13" s="11">
        <v>0</v>
      </c>
      <c r="P13" s="11">
        <v>149.62510508887436</v>
      </c>
      <c r="Q13" s="11">
        <v>0</v>
      </c>
      <c r="R13" s="11">
        <v>0</v>
      </c>
      <c r="S13" s="11"/>
      <c r="T13" s="28">
        <f t="shared" ref="T13:T18" si="9">SUM(O13:R13)</f>
        <v>149.62510508887436</v>
      </c>
      <c r="U13" s="11"/>
      <c r="V13" s="11">
        <v>4488.7531526546236</v>
      </c>
      <c r="W13" s="11">
        <v>3441.3774170468191</v>
      </c>
      <c r="X13" s="11">
        <v>0</v>
      </c>
      <c r="Y13" s="11"/>
      <c r="Z13" s="28">
        <f t="shared" si="3"/>
        <v>7930.1305697014432</v>
      </c>
      <c r="AA13" s="11"/>
      <c r="AB13" s="11">
        <v>0</v>
      </c>
      <c r="AC13" s="11">
        <v>0</v>
      </c>
      <c r="AE13" s="28">
        <f t="shared" si="4"/>
        <v>0</v>
      </c>
      <c r="AG13">
        <v>1645.8761559772311</v>
      </c>
      <c r="AH13">
        <v>1870.3138136118966</v>
      </c>
      <c r="AI13">
        <v>0</v>
      </c>
      <c r="AJ13">
        <v>0</v>
      </c>
      <c r="AK13">
        <v>0</v>
      </c>
      <c r="AL13">
        <v>3216.9397594121529</v>
      </c>
      <c r="AN13" s="28">
        <f t="shared" ref="AN13:AN18" si="10">SUM(AG13:AL13)</f>
        <v>6733.1297290012808</v>
      </c>
      <c r="AO13" s="11">
        <v>0</v>
      </c>
      <c r="AP13" s="11">
        <v>2094.7514712465627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</row>
    <row r="14" spans="1:47" x14ac:dyDescent="0.25">
      <c r="A14" s="13" t="s">
        <v>42</v>
      </c>
      <c r="B14" s="18">
        <v>16839.317270634736</v>
      </c>
      <c r="C14" s="19">
        <v>21411.07761560064</v>
      </c>
      <c r="D14" s="19">
        <v>0</v>
      </c>
      <c r="E14" s="20">
        <v>0</v>
      </c>
      <c r="F14" s="11"/>
      <c r="G14" s="28">
        <f t="shared" si="8"/>
        <v>38250.394886235372</v>
      </c>
      <c r="H14" s="11"/>
      <c r="I14" s="11">
        <v>0</v>
      </c>
      <c r="J14" s="11">
        <v>0</v>
      </c>
      <c r="K14" s="11"/>
      <c r="L14" s="28">
        <f t="shared" si="1"/>
        <v>0</v>
      </c>
      <c r="M14" s="11"/>
      <c r="N14" s="11">
        <v>0</v>
      </c>
      <c r="O14" s="11">
        <v>0</v>
      </c>
      <c r="P14" s="11">
        <v>0</v>
      </c>
      <c r="Q14" s="11">
        <v>0</v>
      </c>
      <c r="R14" s="11">
        <v>152.39201149873455</v>
      </c>
      <c r="S14" s="11"/>
      <c r="T14" s="28">
        <f t="shared" si="9"/>
        <v>152.39201149873455</v>
      </c>
      <c r="U14" s="11"/>
      <c r="V14" s="11">
        <v>4114.5843104847909</v>
      </c>
      <c r="W14" s="11">
        <v>3505.0162644751504</v>
      </c>
      <c r="X14" s="11">
        <v>0</v>
      </c>
      <c r="Y14" s="11"/>
      <c r="Z14" s="28">
        <f t="shared" si="3"/>
        <v>7619.6005749599408</v>
      </c>
      <c r="AA14" s="11"/>
      <c r="AB14" s="11">
        <v>152.39201149873455</v>
      </c>
      <c r="AC14" s="11">
        <v>1676.3121264887882</v>
      </c>
      <c r="AE14" s="28">
        <f t="shared" si="4"/>
        <v>1828.7041379875227</v>
      </c>
      <c r="AG14">
        <v>2514.4681897312475</v>
      </c>
      <c r="AH14">
        <v>1219.1360919921979</v>
      </c>
      <c r="AI14">
        <v>0</v>
      </c>
      <c r="AJ14">
        <v>0</v>
      </c>
      <c r="AK14">
        <v>76.196005749560726</v>
      </c>
      <c r="AL14">
        <v>3200.2322414761334</v>
      </c>
      <c r="AN14" s="28">
        <f t="shared" si="10"/>
        <v>7010.0325289491393</v>
      </c>
      <c r="AO14" s="11">
        <v>0</v>
      </c>
      <c r="AP14" s="11">
        <v>3505.0162644751504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</row>
    <row r="15" spans="1:47" x14ac:dyDescent="0.25">
      <c r="A15" s="13" t="s">
        <v>42</v>
      </c>
      <c r="B15" s="18">
        <v>19812.41072392997</v>
      </c>
      <c r="C15" s="19">
        <v>24141.172730823757</v>
      </c>
      <c r="D15" s="19">
        <v>83.245423209763786</v>
      </c>
      <c r="E15" s="20">
        <v>0</v>
      </c>
      <c r="F15" s="11"/>
      <c r="G15" s="28">
        <f t="shared" si="8"/>
        <v>44036.82887796349</v>
      </c>
      <c r="H15" s="11"/>
      <c r="I15" s="11">
        <v>0</v>
      </c>
      <c r="J15" s="11">
        <v>0</v>
      </c>
      <c r="K15" s="11"/>
      <c r="L15" s="28">
        <f t="shared" si="1"/>
        <v>0</v>
      </c>
      <c r="M15" s="11"/>
      <c r="N15" s="11">
        <v>0</v>
      </c>
      <c r="O15" s="11">
        <v>0</v>
      </c>
      <c r="P15" s="11">
        <v>83.245423209763786</v>
      </c>
      <c r="Q15" s="11">
        <v>0</v>
      </c>
      <c r="R15" s="11">
        <v>0</v>
      </c>
      <c r="S15" s="11"/>
      <c r="T15" s="28">
        <f t="shared" si="9"/>
        <v>83.245423209763786</v>
      </c>
      <c r="U15" s="11"/>
      <c r="V15" s="11">
        <v>3912.5348908604456</v>
      </c>
      <c r="W15" s="11">
        <v>3746.0440444393703</v>
      </c>
      <c r="X15" s="11">
        <v>0</v>
      </c>
      <c r="Y15" s="11"/>
      <c r="Z15" s="28">
        <f t="shared" si="3"/>
        <v>7658.5789352998163</v>
      </c>
      <c r="AA15" s="11"/>
      <c r="AB15" s="11">
        <v>0</v>
      </c>
      <c r="AC15" s="11">
        <v>166.49084641952757</v>
      </c>
      <c r="AE15" s="28">
        <f t="shared" si="4"/>
        <v>166.49084641952757</v>
      </c>
      <c r="AG15">
        <v>3246.5715051800139</v>
      </c>
      <c r="AH15">
        <v>2247.6264266651701</v>
      </c>
      <c r="AI15">
        <v>0</v>
      </c>
      <c r="AJ15">
        <v>83.245423209763786</v>
      </c>
      <c r="AK15">
        <v>83.245423209763786</v>
      </c>
      <c r="AL15">
        <v>2913.5898123417323</v>
      </c>
      <c r="AN15" s="28">
        <f t="shared" si="10"/>
        <v>8574.2785906064437</v>
      </c>
      <c r="AO15" s="11">
        <v>0</v>
      </c>
      <c r="AP15" s="11">
        <v>3579.553198022164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</row>
    <row r="16" spans="1:47" x14ac:dyDescent="0.25">
      <c r="A16" s="13" t="s">
        <v>42</v>
      </c>
      <c r="B16" s="18">
        <v>14541.064970809888</v>
      </c>
      <c r="C16" s="19">
        <v>14830.439398082757</v>
      </c>
      <c r="D16" s="19">
        <v>0</v>
      </c>
      <c r="E16" s="20">
        <v>0</v>
      </c>
      <c r="F16" s="11"/>
      <c r="G16" s="28">
        <f t="shared" si="8"/>
        <v>29371.504368892645</v>
      </c>
      <c r="H16" s="11"/>
      <c r="I16" s="11">
        <v>0</v>
      </c>
      <c r="J16" s="11">
        <v>0</v>
      </c>
      <c r="K16" s="11"/>
      <c r="L16" s="28">
        <f t="shared" si="1"/>
        <v>0</v>
      </c>
      <c r="M16" s="11"/>
      <c r="N16" s="11">
        <v>0</v>
      </c>
      <c r="O16" s="11">
        <v>0</v>
      </c>
      <c r="P16" s="11">
        <v>144.68721363991671</v>
      </c>
      <c r="Q16" s="11">
        <v>0</v>
      </c>
      <c r="R16" s="11">
        <v>0</v>
      </c>
      <c r="S16" s="11"/>
      <c r="T16" s="28">
        <f t="shared" si="9"/>
        <v>144.68721363991671</v>
      </c>
      <c r="U16" s="11"/>
      <c r="V16" s="11">
        <v>1663.902956857688</v>
      </c>
      <c r="W16" s="11">
        <v>3110.7750932568547</v>
      </c>
      <c r="X16" s="11">
        <v>0</v>
      </c>
      <c r="Y16" s="11"/>
      <c r="Z16" s="28">
        <f t="shared" si="3"/>
        <v>4774.6780501145422</v>
      </c>
      <c r="AA16" s="11"/>
      <c r="AB16" s="11">
        <v>0</v>
      </c>
      <c r="AC16" s="11">
        <v>72.343606819764901</v>
      </c>
      <c r="AE16" s="28">
        <f t="shared" si="4"/>
        <v>72.343606819764901</v>
      </c>
      <c r="AG16">
        <v>2097.964597778599</v>
      </c>
      <c r="AH16">
        <v>1663.902956857688</v>
      </c>
      <c r="AI16">
        <v>0</v>
      </c>
      <c r="AJ16">
        <v>0</v>
      </c>
      <c r="AK16">
        <v>0</v>
      </c>
      <c r="AL16">
        <v>3761.8675546362865</v>
      </c>
      <c r="AN16" s="28">
        <f t="shared" si="10"/>
        <v>7523.735109272573</v>
      </c>
      <c r="AO16" s="11">
        <v>0</v>
      </c>
      <c r="AP16" s="11">
        <v>2242.6518114189021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</row>
    <row r="17" spans="1:47" x14ac:dyDescent="0.25">
      <c r="A17" s="13" t="s">
        <v>43</v>
      </c>
      <c r="B17" s="18">
        <v>10947.150232990027</v>
      </c>
      <c r="C17" s="19">
        <v>22104.822585843762</v>
      </c>
      <c r="D17" s="19">
        <v>105.26105993262617</v>
      </c>
      <c r="E17" s="20">
        <v>0</v>
      </c>
      <c r="F17" s="11"/>
      <c r="G17" s="28">
        <f t="shared" si="8"/>
        <v>33157.233878766419</v>
      </c>
      <c r="H17" s="11"/>
      <c r="I17" s="11">
        <v>0</v>
      </c>
      <c r="J17" s="11">
        <v>0</v>
      </c>
      <c r="K17" s="11"/>
      <c r="L17" s="28">
        <f t="shared" si="1"/>
        <v>0</v>
      </c>
      <c r="M17" s="11"/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/>
      <c r="T17" s="28">
        <f t="shared" si="9"/>
        <v>0</v>
      </c>
      <c r="U17" s="11"/>
      <c r="V17" s="11">
        <v>1999.9601387206712</v>
      </c>
      <c r="W17" s="11">
        <v>2315.7433185200971</v>
      </c>
      <c r="X17" s="11">
        <v>4315.7034572252924</v>
      </c>
      <c r="Y17" s="11"/>
      <c r="Z17" s="28">
        <f t="shared" si="3"/>
        <v>8631.4069144660607</v>
      </c>
      <c r="AA17" s="11"/>
      <c r="AB17" s="11">
        <v>0</v>
      </c>
      <c r="AC17" s="11">
        <v>0</v>
      </c>
      <c r="AE17" s="28">
        <f t="shared" si="4"/>
        <v>0</v>
      </c>
      <c r="AG17">
        <v>5368.3140565825061</v>
      </c>
      <c r="AH17">
        <v>2105.2211986525235</v>
      </c>
      <c r="AI17">
        <v>0</v>
      </c>
      <c r="AJ17">
        <v>0</v>
      </c>
      <c r="AK17">
        <v>210.52211986525234</v>
      </c>
      <c r="AL17">
        <v>4631.4866370401942</v>
      </c>
      <c r="AN17" s="28">
        <f t="shared" si="10"/>
        <v>12315.544012140475</v>
      </c>
      <c r="AO17" s="11">
        <v>0</v>
      </c>
      <c r="AP17" s="11">
        <v>8631.4069144892765</v>
      </c>
      <c r="AQ17" s="11">
        <v>0</v>
      </c>
      <c r="AR17" s="11">
        <v>0</v>
      </c>
      <c r="AS17" s="11">
        <v>0</v>
      </c>
      <c r="AT17" s="11">
        <v>0</v>
      </c>
      <c r="AU17" s="11">
        <v>210.52211986525234</v>
      </c>
    </row>
    <row r="18" spans="1:47" ht="15.75" thickBot="1" x14ac:dyDescent="0.3">
      <c r="A18" s="14" t="s">
        <v>43</v>
      </c>
      <c r="B18" s="21">
        <v>14598.371910809248</v>
      </c>
      <c r="C18" s="22">
        <v>26550.255346573536</v>
      </c>
      <c r="D18" s="22">
        <v>0</v>
      </c>
      <c r="E18" s="23">
        <v>85.370595969579099</v>
      </c>
      <c r="F18" s="11"/>
      <c r="G18" s="29">
        <f t="shared" si="8"/>
        <v>41233.997853352368</v>
      </c>
      <c r="H18" s="11"/>
      <c r="I18" s="11">
        <v>0</v>
      </c>
      <c r="J18" s="11">
        <v>0</v>
      </c>
      <c r="K18" s="11"/>
      <c r="L18" s="29">
        <f t="shared" si="1"/>
        <v>0</v>
      </c>
      <c r="M18" s="11"/>
      <c r="N18" s="11">
        <v>0</v>
      </c>
      <c r="O18" s="11">
        <v>0</v>
      </c>
      <c r="P18" s="11">
        <v>0</v>
      </c>
      <c r="Q18" s="11">
        <v>0</v>
      </c>
      <c r="R18" s="11">
        <v>85.370595969579099</v>
      </c>
      <c r="S18" s="11"/>
      <c r="T18" s="29">
        <f t="shared" si="9"/>
        <v>85.370595969579099</v>
      </c>
      <c r="U18" s="11"/>
      <c r="V18" s="11">
        <v>2390.3766871528578</v>
      </c>
      <c r="W18" s="11">
        <v>2646.4884750604342</v>
      </c>
      <c r="X18" s="11">
        <v>5975.9417178821441</v>
      </c>
      <c r="Y18" s="11"/>
      <c r="Z18" s="29">
        <f t="shared" si="3"/>
        <v>11012.806880095435</v>
      </c>
      <c r="AA18" s="11"/>
      <c r="AB18" s="11">
        <v>0</v>
      </c>
      <c r="AC18" s="11">
        <v>0</v>
      </c>
      <c r="AE18" s="29">
        <f t="shared" si="4"/>
        <v>0</v>
      </c>
      <c r="AG18">
        <v>4695.3827783442612</v>
      </c>
      <c r="AH18">
        <v>4268.5297984983008</v>
      </c>
      <c r="AI18">
        <v>0</v>
      </c>
      <c r="AJ18">
        <v>0</v>
      </c>
      <c r="AK18">
        <v>0</v>
      </c>
      <c r="AL18">
        <v>4012.4180105907244</v>
      </c>
      <c r="AN18" s="29">
        <f t="shared" si="10"/>
        <v>12976.330587433287</v>
      </c>
      <c r="AO18" s="11">
        <v>0</v>
      </c>
      <c r="AP18" s="11">
        <v>7597.9830412967967</v>
      </c>
      <c r="AQ18" s="11">
        <v>0</v>
      </c>
      <c r="AR18" s="11">
        <v>0</v>
      </c>
      <c r="AS18" s="11">
        <v>0</v>
      </c>
      <c r="AT18" s="11">
        <v>85.370595969579099</v>
      </c>
      <c r="AU18" s="11">
        <v>0</v>
      </c>
    </row>
    <row r="19" spans="1:47" ht="15.75" thickBot="1" x14ac:dyDescent="0.3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E19" s="11"/>
      <c r="AN19" s="11"/>
      <c r="AO19" s="11"/>
      <c r="AP19" s="11"/>
      <c r="AQ19" s="11"/>
      <c r="AR19" s="11"/>
      <c r="AS19" s="11"/>
      <c r="AT19" s="11"/>
      <c r="AU19" s="11"/>
    </row>
    <row r="20" spans="1:47" ht="15.75" thickBot="1" x14ac:dyDescent="0.3">
      <c r="B20" s="24">
        <f>AVERAGE(B12:B18)</f>
        <v>17875.366795399874</v>
      </c>
      <c r="C20" s="25">
        <f t="shared" ref="C20:X20" si="11">AVERAGE(C12:C18)</f>
        <v>23579.19957913904</v>
      </c>
      <c r="D20" s="25">
        <f t="shared" si="11"/>
        <v>26.929497591769994</v>
      </c>
      <c r="E20" s="26">
        <f t="shared" si="11"/>
        <v>13.674965289944312</v>
      </c>
      <c r="F20" s="11"/>
      <c r="G20" s="30">
        <f t="shared" si="11"/>
        <v>41495.170837420621</v>
      </c>
      <c r="H20" s="11"/>
      <c r="I20" s="11">
        <f t="shared" si="11"/>
        <v>0</v>
      </c>
      <c r="J20" s="11">
        <f t="shared" si="11"/>
        <v>0</v>
      </c>
      <c r="K20" s="11"/>
      <c r="L20" s="30">
        <f t="shared" si="11"/>
        <v>0</v>
      </c>
      <c r="M20" s="11"/>
      <c r="N20" s="11">
        <f t="shared" si="11"/>
        <v>0</v>
      </c>
      <c r="O20" s="11">
        <f t="shared" si="11"/>
        <v>2.9583317314374531</v>
      </c>
      <c r="P20" s="11">
        <f t="shared" si="11"/>
        <v>59.853483739833429</v>
      </c>
      <c r="Q20" s="11">
        <f t="shared" si="11"/>
        <v>0</v>
      </c>
      <c r="R20" s="11">
        <f t="shared" si="11"/>
        <v>33.966086781187663</v>
      </c>
      <c r="S20" s="11"/>
      <c r="T20" s="30">
        <f>AVERAGE(T12:T18)</f>
        <v>96.777902252458532</v>
      </c>
      <c r="U20" s="11"/>
      <c r="V20" s="11">
        <f t="shared" si="11"/>
        <v>3177.9770447201913</v>
      </c>
      <c r="W20" s="11">
        <f t="shared" si="11"/>
        <v>3438.110725073459</v>
      </c>
      <c r="X20" s="11">
        <f t="shared" si="11"/>
        <v>1470.2350250153481</v>
      </c>
      <c r="Y20" s="11"/>
      <c r="Z20" s="30">
        <f>AVERAGE(Z12:Z15,Z17:Z18)</f>
        <v>8638.2635855914068</v>
      </c>
      <c r="AA20" s="11"/>
      <c r="AE20" s="30">
        <f>AVERAGE(AE12:AE14,AE15:AE18)/SQRT(7)</f>
        <v>113.87287916762442</v>
      </c>
      <c r="AN20" s="30">
        <f>AVERAGE(AN12:AN13,AN14:AN18)</f>
        <v>8849.4412192714863</v>
      </c>
      <c r="AO20" s="11"/>
      <c r="AP20" s="11"/>
      <c r="AQ20" s="11"/>
      <c r="AR20" s="11"/>
      <c r="AS20" s="11"/>
      <c r="AT20" s="11"/>
      <c r="AU20" s="11"/>
    </row>
    <row r="21" spans="1:47" ht="15.75" thickBot="1" x14ac:dyDescent="0.3">
      <c r="B21" s="19"/>
      <c r="C21" s="19"/>
      <c r="D21" s="19"/>
      <c r="E21" s="19"/>
      <c r="F21" s="11"/>
      <c r="G21" s="31">
        <f>STDEV(G12:G18)/SQRT(6)</f>
        <v>3598.8996912660364</v>
      </c>
      <c r="H21" s="11"/>
      <c r="I21" s="11"/>
      <c r="J21" s="11"/>
      <c r="K21" s="11"/>
      <c r="L21" s="31">
        <f>STDEV(L14:L18)</f>
        <v>0</v>
      </c>
      <c r="M21" s="11"/>
      <c r="N21" s="11"/>
      <c r="O21" s="11"/>
      <c r="P21" s="11"/>
      <c r="Q21" s="11"/>
      <c r="R21" s="11"/>
      <c r="S21" s="11"/>
      <c r="T21" s="31">
        <f>STDEV(T12:T18)/SQRT(6)</f>
        <v>23.010324414942549</v>
      </c>
      <c r="U21" s="11"/>
      <c r="V21" s="11"/>
      <c r="W21" s="11"/>
      <c r="X21" s="11"/>
      <c r="Y21" s="11"/>
      <c r="Z21" s="31">
        <f>STDEV(Z12:Z15,Z17:Z18)/SQRT(6)</f>
        <v>524.47411736248182</v>
      </c>
      <c r="AA21" s="11"/>
      <c r="AE21" s="31">
        <f>STDEV(AE12:AE14,AE15:AE18)/SQRT(7)</f>
        <v>255.57788693635069</v>
      </c>
      <c r="AN21" s="31">
        <f>STDEV(AN12:AN13,AN14:AN18)/SQRT(7)</f>
        <v>1010.5094472718214</v>
      </c>
      <c r="AO21" s="11"/>
      <c r="AP21" s="11"/>
      <c r="AQ21" s="11"/>
      <c r="AR21" s="11"/>
      <c r="AS21" s="11"/>
      <c r="AT21" s="11"/>
      <c r="AU21" s="11"/>
    </row>
    <row r="22" spans="1:47" ht="15.75" thickBot="1" x14ac:dyDescent="0.3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E22" s="11"/>
      <c r="AN22" s="11"/>
      <c r="AO22" s="11"/>
      <c r="AP22" s="11"/>
      <c r="AQ22" s="11"/>
      <c r="AR22" s="11"/>
      <c r="AS22" s="11"/>
      <c r="AT22" s="11"/>
      <c r="AU22" s="11"/>
    </row>
    <row r="23" spans="1:47" x14ac:dyDescent="0.25">
      <c r="A23" s="12" t="s">
        <v>44</v>
      </c>
      <c r="B23" s="15">
        <v>28122.169642637506</v>
      </c>
      <c r="C23" s="16">
        <v>39661.241707318492</v>
      </c>
      <c r="D23" s="16">
        <v>0</v>
      </c>
      <c r="E23" s="17">
        <v>0</v>
      </c>
      <c r="F23" s="11"/>
      <c r="G23" s="27">
        <f>SUM(B23:E23)</f>
        <v>67783.411349956004</v>
      </c>
      <c r="H23" s="11"/>
      <c r="I23" s="11">
        <v>0</v>
      </c>
      <c r="J23" s="11">
        <v>0</v>
      </c>
      <c r="K23" s="11"/>
      <c r="L23" s="27">
        <f t="shared" si="1"/>
        <v>0</v>
      </c>
      <c r="M23" s="11"/>
      <c r="N23" s="11">
        <v>138.19247981617806</v>
      </c>
      <c r="O23" s="11">
        <v>138.19247981617806</v>
      </c>
      <c r="P23" s="11">
        <v>0</v>
      </c>
      <c r="Q23" s="11">
        <v>69.096239908278434</v>
      </c>
      <c r="R23" s="11">
        <v>207.28871972445648</v>
      </c>
      <c r="S23" s="11"/>
      <c r="T23" s="27">
        <f>SUM(O23:R23)</f>
        <v>414.57743944891297</v>
      </c>
      <c r="U23" s="11"/>
      <c r="V23" s="11">
        <v>2902.0420761423911</v>
      </c>
      <c r="W23" s="11">
        <v>2832.9458362348701</v>
      </c>
      <c r="X23" s="11">
        <v>0</v>
      </c>
      <c r="Y23" s="11"/>
      <c r="Z23" s="27">
        <f t="shared" si="3"/>
        <v>5734.9879123772607</v>
      </c>
      <c r="AA23" s="11"/>
      <c r="AB23" s="11">
        <v>0</v>
      </c>
      <c r="AC23" s="11">
        <v>138.19247981617806</v>
      </c>
      <c r="AE23" s="27">
        <f t="shared" si="4"/>
        <v>138.19247981617806</v>
      </c>
      <c r="AG23">
        <v>5251.3142330246155</v>
      </c>
      <c r="AH23">
        <v>3316.6195155913038</v>
      </c>
      <c r="AI23">
        <v>69.096239908278434</v>
      </c>
      <c r="AJ23">
        <v>69.096239908278434</v>
      </c>
      <c r="AK23">
        <v>138.19247981617806</v>
      </c>
      <c r="AL23">
        <v>7807.8751096142496</v>
      </c>
      <c r="AN23" s="27">
        <f>SUM(AG23:AL23)</f>
        <v>16652.193817862906</v>
      </c>
      <c r="AO23" s="11">
        <v>0</v>
      </c>
      <c r="AP23" s="11">
        <v>4629.4480738531402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</row>
    <row r="24" spans="1:47" x14ac:dyDescent="0.25">
      <c r="A24" s="13" t="s">
        <v>44</v>
      </c>
      <c r="B24" s="18">
        <v>34814.389066670774</v>
      </c>
      <c r="C24" s="19">
        <v>34454.550419995256</v>
      </c>
      <c r="D24" s="19">
        <v>0</v>
      </c>
      <c r="E24" s="20">
        <v>0</v>
      </c>
      <c r="F24" s="11"/>
      <c r="G24" s="28">
        <f t="shared" ref="G24:G29" si="12">SUM(B24:E24)</f>
        <v>69268.93948666603</v>
      </c>
      <c r="H24" s="11"/>
      <c r="I24" s="11">
        <v>0</v>
      </c>
      <c r="J24" s="11">
        <v>0</v>
      </c>
      <c r="K24" s="11"/>
      <c r="L24" s="28">
        <f t="shared" si="1"/>
        <v>0</v>
      </c>
      <c r="M24" s="11"/>
      <c r="N24" s="11">
        <v>0</v>
      </c>
      <c r="O24" s="11">
        <v>89.959661671152261</v>
      </c>
      <c r="P24" s="11">
        <v>0</v>
      </c>
      <c r="Q24" s="11">
        <v>0</v>
      </c>
      <c r="R24" s="11">
        <v>0</v>
      </c>
      <c r="S24" s="11"/>
      <c r="T24" s="28">
        <f t="shared" ref="T24:T29" si="13">SUM(O24:R24)</f>
        <v>89.959661671152261</v>
      </c>
      <c r="U24" s="11"/>
      <c r="V24" s="11">
        <v>3418.4671434969669</v>
      </c>
      <c r="W24" s="11">
        <v>4408.0234218697924</v>
      </c>
      <c r="X24" s="11">
        <v>0</v>
      </c>
      <c r="Y24" s="11"/>
      <c r="Z24" s="28">
        <f t="shared" si="3"/>
        <v>7826.4905653667593</v>
      </c>
      <c r="AA24" s="11"/>
      <c r="AB24" s="11">
        <v>0</v>
      </c>
      <c r="AC24" s="11">
        <v>0</v>
      </c>
      <c r="AE24" s="28">
        <f t="shared" si="4"/>
        <v>0</v>
      </c>
      <c r="AG24">
        <v>5307.6200385964676</v>
      </c>
      <c r="AH24">
        <v>2698.7898501307795</v>
      </c>
      <c r="AI24">
        <v>89.959661671152261</v>
      </c>
      <c r="AJ24">
        <v>89.959661671152261</v>
      </c>
      <c r="AK24">
        <v>179.91932334192569</v>
      </c>
      <c r="AL24">
        <v>6836.9342869863576</v>
      </c>
      <c r="AN24" s="28">
        <f t="shared" ref="AN24:AN29" si="14">SUM(AG24:AL24)</f>
        <v>15203.182822397835</v>
      </c>
      <c r="AO24" s="11">
        <v>0</v>
      </c>
      <c r="AP24" s="11">
        <v>4677.9024068953713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</row>
    <row r="25" spans="1:47" x14ac:dyDescent="0.25">
      <c r="A25" s="13" t="s">
        <v>44</v>
      </c>
      <c r="B25" s="18">
        <v>51365.442074102481</v>
      </c>
      <c r="C25" s="19">
        <v>35204.546183446786</v>
      </c>
      <c r="D25" s="19">
        <v>0</v>
      </c>
      <c r="E25" s="20">
        <v>0</v>
      </c>
      <c r="F25" s="11"/>
      <c r="G25" s="28">
        <f t="shared" si="12"/>
        <v>86569.988257549267</v>
      </c>
      <c r="H25" s="11"/>
      <c r="I25" s="11">
        <v>0</v>
      </c>
      <c r="J25" s="11">
        <v>0</v>
      </c>
      <c r="K25" s="11"/>
      <c r="L25" s="28">
        <f t="shared" si="1"/>
        <v>0</v>
      </c>
      <c r="M25" s="11"/>
      <c r="N25" s="11">
        <v>0</v>
      </c>
      <c r="O25" s="11">
        <v>174.71238800696577</v>
      </c>
      <c r="P25" s="11">
        <v>0</v>
      </c>
      <c r="Q25" s="11">
        <v>0</v>
      </c>
      <c r="R25" s="11">
        <v>87.356194003482884</v>
      </c>
      <c r="S25" s="11"/>
      <c r="T25" s="28">
        <f t="shared" si="13"/>
        <v>262.06858201044867</v>
      </c>
      <c r="U25" s="11"/>
      <c r="V25" s="11">
        <v>4193.09731217627</v>
      </c>
      <c r="W25" s="11">
        <v>2445.973432099036</v>
      </c>
      <c r="X25" s="11">
        <v>0</v>
      </c>
      <c r="Y25" s="11"/>
      <c r="Z25" s="28">
        <f t="shared" si="3"/>
        <v>6639.0707442753064</v>
      </c>
      <c r="AA25" s="11"/>
      <c r="AB25" s="11">
        <v>0</v>
      </c>
      <c r="AC25" s="11">
        <v>87.356194003482884</v>
      </c>
      <c r="AE25" s="28">
        <f t="shared" si="4"/>
        <v>87.356194003482884</v>
      </c>
      <c r="AG25">
        <v>8124.1260423367867</v>
      </c>
      <c r="AH25">
        <v>2882.7544021164504</v>
      </c>
      <c r="AI25">
        <v>0</v>
      </c>
      <c r="AJ25">
        <v>174.71238800696577</v>
      </c>
      <c r="AK25">
        <v>174.71238800696577</v>
      </c>
      <c r="AL25">
        <v>5154.0154462214005</v>
      </c>
      <c r="AN25" s="28">
        <f t="shared" si="14"/>
        <v>16510.320666688571</v>
      </c>
      <c r="AO25" s="11">
        <v>0</v>
      </c>
      <c r="AP25" s="11">
        <v>5066.6592522035226</v>
      </c>
      <c r="AQ25" s="11">
        <v>0</v>
      </c>
      <c r="AR25" s="11">
        <v>0</v>
      </c>
      <c r="AS25" s="11">
        <v>0</v>
      </c>
      <c r="AT25" s="11">
        <v>87.356194003482884</v>
      </c>
      <c r="AU25" s="11">
        <v>0</v>
      </c>
    </row>
    <row r="26" spans="1:47" x14ac:dyDescent="0.25">
      <c r="A26" s="13" t="s">
        <v>44</v>
      </c>
      <c r="B26" s="18">
        <v>35973.517509938945</v>
      </c>
      <c r="C26" s="19">
        <v>46480.634010303082</v>
      </c>
      <c r="D26" s="19">
        <v>0</v>
      </c>
      <c r="E26" s="20">
        <v>0</v>
      </c>
      <c r="F26" s="11"/>
      <c r="G26" s="28">
        <f t="shared" si="12"/>
        <v>82454.151520242027</v>
      </c>
      <c r="H26" s="11"/>
      <c r="I26" s="11">
        <v>0</v>
      </c>
      <c r="J26" s="11">
        <v>0</v>
      </c>
      <c r="K26" s="11"/>
      <c r="L26" s="28">
        <f t="shared" si="1"/>
        <v>0</v>
      </c>
      <c r="M26" s="11"/>
      <c r="N26" s="11">
        <v>0</v>
      </c>
      <c r="O26" s="11">
        <v>59.362240115302022</v>
      </c>
      <c r="P26" s="11">
        <v>59.362240115302022</v>
      </c>
      <c r="Q26" s="11">
        <v>0</v>
      </c>
      <c r="R26" s="11">
        <v>237.44896046158692</v>
      </c>
      <c r="S26" s="11"/>
      <c r="T26" s="28">
        <f t="shared" si="13"/>
        <v>356.17344069219098</v>
      </c>
      <c r="U26" s="11"/>
      <c r="V26" s="11">
        <v>4155.3568080825071</v>
      </c>
      <c r="W26" s="11">
        <v>4095.9945679751595</v>
      </c>
      <c r="X26" s="11">
        <v>0</v>
      </c>
      <c r="Y26" s="11"/>
      <c r="Z26" s="28">
        <f t="shared" si="3"/>
        <v>8251.3513760576661</v>
      </c>
      <c r="AA26" s="11"/>
      <c r="AB26" s="11">
        <v>0</v>
      </c>
      <c r="AC26" s="11">
        <v>0</v>
      </c>
      <c r="AE26" s="28">
        <f t="shared" si="4"/>
        <v>0</v>
      </c>
      <c r="AG26">
        <v>4511.5302487644694</v>
      </c>
      <c r="AH26">
        <v>2790.0252854241198</v>
      </c>
      <c r="AI26">
        <v>118.72448023098288</v>
      </c>
      <c r="AJ26">
        <v>59.362240115302022</v>
      </c>
      <c r="AK26">
        <v>356.17344069256978</v>
      </c>
      <c r="AL26">
        <v>8607.5248167396294</v>
      </c>
      <c r="AN26" s="28">
        <f t="shared" si="14"/>
        <v>16443.340511967072</v>
      </c>
      <c r="AO26" s="11">
        <v>0</v>
      </c>
      <c r="AP26" s="11">
        <v>4511.5302487644694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</row>
    <row r="27" spans="1:47" x14ac:dyDescent="0.25">
      <c r="A27" s="13" t="s">
        <v>44</v>
      </c>
      <c r="B27" s="18">
        <v>24134.24642246051</v>
      </c>
      <c r="C27" s="19">
        <v>31136.929322248085</v>
      </c>
      <c r="D27" s="19">
        <v>0</v>
      </c>
      <c r="E27" s="20">
        <v>0</v>
      </c>
      <c r="F27" s="11"/>
      <c r="G27" s="28">
        <f t="shared" si="12"/>
        <v>55271.175744708598</v>
      </c>
      <c r="H27" s="11"/>
      <c r="I27" s="11">
        <v>0</v>
      </c>
      <c r="J27" s="11">
        <v>0</v>
      </c>
      <c r="K27" s="11"/>
      <c r="L27" s="28">
        <f t="shared" si="1"/>
        <v>0</v>
      </c>
      <c r="M27" s="11"/>
      <c r="N27" s="11">
        <v>0</v>
      </c>
      <c r="O27" s="11">
        <v>0</v>
      </c>
      <c r="P27" s="11">
        <v>0</v>
      </c>
      <c r="Q27" s="11">
        <v>0</v>
      </c>
      <c r="R27" s="11">
        <v>375.14372677400939</v>
      </c>
      <c r="S27" s="11"/>
      <c r="T27" s="28">
        <f t="shared" si="13"/>
        <v>375.14372677400939</v>
      </c>
      <c r="U27" s="11"/>
      <c r="V27" s="11">
        <v>2751.0539963434931</v>
      </c>
      <c r="W27" s="11">
        <v>3376.2935409668421</v>
      </c>
      <c r="X27" s="11">
        <v>0</v>
      </c>
      <c r="Y27" s="11"/>
      <c r="Z27" s="28">
        <f t="shared" si="3"/>
        <v>6127.3475373103356</v>
      </c>
      <c r="AA27" s="11"/>
      <c r="AB27" s="11">
        <v>0</v>
      </c>
      <c r="AC27" s="11">
        <v>0</v>
      </c>
      <c r="AE27" s="28">
        <f t="shared" si="4"/>
        <v>0</v>
      </c>
      <c r="AG27">
        <v>5877.2517194753909</v>
      </c>
      <c r="AH27">
        <v>3751.4372677400938</v>
      </c>
      <c r="AI27">
        <v>125.0479089246698</v>
      </c>
      <c r="AJ27">
        <v>0</v>
      </c>
      <c r="AK27">
        <v>125.0479089246698</v>
      </c>
      <c r="AL27">
        <v>7127.7308087069359</v>
      </c>
      <c r="AN27" s="28">
        <f t="shared" si="14"/>
        <v>17006.515613771757</v>
      </c>
      <c r="AO27" s="11">
        <v>125.0479089246698</v>
      </c>
      <c r="AP27" s="11">
        <v>2751.0539963434931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</row>
    <row r="28" spans="1:47" x14ac:dyDescent="0.25">
      <c r="A28" s="13" t="s">
        <v>45</v>
      </c>
      <c r="B28" s="18">
        <v>16565.27083872302</v>
      </c>
      <c r="C28" s="19">
        <v>22915.291326888808</v>
      </c>
      <c r="D28" s="19">
        <v>0</v>
      </c>
      <c r="E28" s="20">
        <v>0</v>
      </c>
      <c r="F28" s="11"/>
      <c r="G28" s="28">
        <f t="shared" si="12"/>
        <v>39480.562165611831</v>
      </c>
      <c r="H28" s="11"/>
      <c r="I28" s="11">
        <v>0</v>
      </c>
      <c r="J28" s="11">
        <v>0</v>
      </c>
      <c r="K28" s="11"/>
      <c r="L28" s="28">
        <f t="shared" si="1"/>
        <v>0</v>
      </c>
      <c r="M28" s="11"/>
      <c r="N28" s="11">
        <v>138.04392365602516</v>
      </c>
      <c r="O28" s="11">
        <v>276.08784731167145</v>
      </c>
      <c r="P28" s="11">
        <v>0</v>
      </c>
      <c r="Q28" s="11">
        <v>0</v>
      </c>
      <c r="R28" s="11">
        <v>138.04392365602516</v>
      </c>
      <c r="S28" s="11"/>
      <c r="T28" s="28">
        <f t="shared" si="13"/>
        <v>414.13177096769664</v>
      </c>
      <c r="U28" s="11"/>
      <c r="V28" s="11">
        <v>3589.1420150528656</v>
      </c>
      <c r="W28" s="11">
        <v>1656.5270838723015</v>
      </c>
      <c r="X28" s="11">
        <v>0</v>
      </c>
      <c r="Y28" s="11"/>
      <c r="Z28" s="28">
        <f t="shared" si="3"/>
        <v>5245.6690989251674</v>
      </c>
      <c r="AA28" s="11"/>
      <c r="AB28" s="11">
        <v>0</v>
      </c>
      <c r="AC28" s="11">
        <v>0</v>
      </c>
      <c r="AE28" s="28">
        <f t="shared" si="4"/>
        <v>0</v>
      </c>
      <c r="AG28">
        <v>45830.582653929145</v>
      </c>
      <c r="AH28">
        <v>44450.143417198429</v>
      </c>
      <c r="AI28">
        <v>966.30746559028182</v>
      </c>
      <c r="AJ28">
        <v>552.17569462410063</v>
      </c>
      <c r="AK28">
        <v>138.04392365602516</v>
      </c>
      <c r="AL28">
        <v>14356.568060219039</v>
      </c>
      <c r="AN28" s="28">
        <f t="shared" si="14"/>
        <v>106293.82121521702</v>
      </c>
      <c r="AO28" s="11">
        <v>138.04392365602516</v>
      </c>
      <c r="AP28" s="11">
        <v>4003.2737860266229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</row>
    <row r="29" spans="1:47" ht="15.75" thickBot="1" x14ac:dyDescent="0.3">
      <c r="A29" s="14" t="s">
        <v>45</v>
      </c>
      <c r="B29" s="21">
        <v>20786.511947152216</v>
      </c>
      <c r="C29" s="22">
        <v>34082.388958388947</v>
      </c>
      <c r="D29" s="22">
        <v>0</v>
      </c>
      <c r="E29" s="23">
        <v>0</v>
      </c>
      <c r="F29" s="11"/>
      <c r="G29" s="29">
        <f t="shared" si="12"/>
        <v>54868.900905541159</v>
      </c>
      <c r="H29" s="11"/>
      <c r="I29" s="11">
        <v>0</v>
      </c>
      <c r="J29" s="11">
        <v>0</v>
      </c>
      <c r="K29" s="11"/>
      <c r="L29" s="29">
        <f t="shared" si="1"/>
        <v>0</v>
      </c>
      <c r="M29" s="11"/>
      <c r="N29" s="11">
        <v>0</v>
      </c>
      <c r="O29" s="11">
        <v>280.89881009664134</v>
      </c>
      <c r="P29" s="11">
        <v>93.632936698754165</v>
      </c>
      <c r="Q29" s="11">
        <v>0</v>
      </c>
      <c r="R29" s="11">
        <v>0</v>
      </c>
      <c r="S29" s="11"/>
      <c r="T29" s="29">
        <f t="shared" si="13"/>
        <v>374.53174679539552</v>
      </c>
      <c r="U29" s="11"/>
      <c r="V29" s="11">
        <v>3838.950404659528</v>
      </c>
      <c r="W29" s="11">
        <v>1310.8611137833161</v>
      </c>
      <c r="X29" s="11">
        <v>0</v>
      </c>
      <c r="Y29" s="11"/>
      <c r="Z29" s="29">
        <f t="shared" si="3"/>
        <v>5149.8115184428443</v>
      </c>
      <c r="AA29" s="11"/>
      <c r="AB29" s="11">
        <v>0</v>
      </c>
      <c r="AC29" s="11">
        <v>93.632936698754165</v>
      </c>
      <c r="AE29" s="29">
        <f t="shared" si="4"/>
        <v>93.632936698754165</v>
      </c>
      <c r="AG29">
        <v>32771.527844601842</v>
      </c>
      <c r="AH29">
        <v>44662.91080553909</v>
      </c>
      <c r="AI29">
        <v>842.69643028954522</v>
      </c>
      <c r="AJ29">
        <v>374.53174679577432</v>
      </c>
      <c r="AK29">
        <v>280.89881009664134</v>
      </c>
      <c r="AL29">
        <v>14044.940504851007</v>
      </c>
      <c r="AN29" s="29">
        <f t="shared" si="14"/>
        <v>92977.506142173908</v>
      </c>
      <c r="AO29" s="11">
        <v>93.632936698754165</v>
      </c>
      <c r="AP29" s="11">
        <v>3183.5198477621875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</row>
    <row r="30" spans="1:47" ht="15.75" thickBot="1" x14ac:dyDescent="0.3"/>
    <row r="31" spans="1:47" ht="15.75" thickBot="1" x14ac:dyDescent="0.3">
      <c r="B31" s="24">
        <f>AVERAGE(B23:B29)</f>
        <v>30251.64964309792</v>
      </c>
      <c r="C31" s="25">
        <f t="shared" ref="C31:X31" si="15">AVERAGE(C23:C29)</f>
        <v>34847.940275512781</v>
      </c>
      <c r="D31" s="25">
        <f t="shared" si="15"/>
        <v>0</v>
      </c>
      <c r="E31" s="26">
        <f t="shared" si="15"/>
        <v>0</v>
      </c>
      <c r="F31" s="11"/>
      <c r="G31" s="30">
        <f>AVERAGE(G23:G29)</f>
        <v>65099.589918610698</v>
      </c>
      <c r="H31" s="11"/>
      <c r="I31" s="11">
        <f t="shared" si="15"/>
        <v>0</v>
      </c>
      <c r="J31" s="11">
        <f t="shared" si="15"/>
        <v>0</v>
      </c>
      <c r="K31" s="11"/>
      <c r="L31" s="30">
        <f t="shared" si="15"/>
        <v>0</v>
      </c>
      <c r="M31" s="11"/>
      <c r="N31" s="11">
        <f t="shared" si="15"/>
        <v>39.462343353171889</v>
      </c>
      <c r="O31" s="11">
        <f t="shared" si="15"/>
        <v>145.60191814541585</v>
      </c>
      <c r="P31" s="11">
        <f t="shared" si="15"/>
        <v>21.856453830579454</v>
      </c>
      <c r="Q31" s="11">
        <f t="shared" si="15"/>
        <v>9.870891415468348</v>
      </c>
      <c r="R31" s="11">
        <f t="shared" si="15"/>
        <v>149.32593208850867</v>
      </c>
      <c r="S31" s="11"/>
      <c r="T31" s="30">
        <f>AVERAGE(T23:T29)</f>
        <v>326.65519547997235</v>
      </c>
      <c r="U31" s="11"/>
      <c r="V31" s="11">
        <f t="shared" si="15"/>
        <v>3549.7299651362887</v>
      </c>
      <c r="W31" s="11">
        <f t="shared" si="15"/>
        <v>2875.2312852573309</v>
      </c>
      <c r="X31" s="11">
        <f t="shared" si="15"/>
        <v>0</v>
      </c>
      <c r="Y31" s="11"/>
      <c r="Z31" s="30">
        <f>AVERAGE(Z23:Z29)</f>
        <v>6424.9612503936205</v>
      </c>
      <c r="AE31" s="30">
        <f>AVERAGE(AE23:AE29)</f>
        <v>45.597372931202166</v>
      </c>
      <c r="AN31" s="30">
        <f>AVERAGE(AN23:AN29)</f>
        <v>40155.268684297007</v>
      </c>
    </row>
    <row r="32" spans="1:47" ht="15.75" thickBot="1" x14ac:dyDescent="0.3">
      <c r="G32" s="31">
        <f>STDEV(G23:G29)/SQRT(5)</f>
        <v>7403.4777692161533</v>
      </c>
      <c r="L32" s="31">
        <f>STDEV(L25:L29)</f>
        <v>0</v>
      </c>
      <c r="T32" s="31">
        <f>STDEV(T23:T29)/SQRT(7)</f>
        <v>43.940790042482803</v>
      </c>
      <c r="Z32" s="31">
        <f>STDEV(Z23:Z29)/SQRT(7)</f>
        <v>461.03408958816726</v>
      </c>
      <c r="AE32" s="31">
        <f>STDEV(AE23:AE29)/SQRT(7)</f>
        <v>22.329539487159547</v>
      </c>
      <c r="AN32" s="31">
        <f>STDEV(AN23:AN29)/SQRT(7)</f>
        <v>15427.790240113614</v>
      </c>
    </row>
    <row r="33" spans="2:31" x14ac:dyDescent="0.25">
      <c r="G33" s="11"/>
      <c r="L33" s="11"/>
      <c r="T33" s="11"/>
      <c r="Z33" s="11"/>
      <c r="AE33" s="11"/>
    </row>
    <row r="35" spans="2:31" x14ac:dyDescent="0.25">
      <c r="C35" s="39" t="s">
        <v>75</v>
      </c>
      <c r="D35" s="39" t="s">
        <v>78</v>
      </c>
      <c r="E35" s="39" t="s">
        <v>76</v>
      </c>
      <c r="F35" s="39" t="s">
        <v>84</v>
      </c>
      <c r="G35" s="39" t="s">
        <v>85</v>
      </c>
      <c r="H35" s="39" t="s">
        <v>94</v>
      </c>
    </row>
    <row r="36" spans="2:31" x14ac:dyDescent="0.25">
      <c r="B36" t="s">
        <v>81</v>
      </c>
      <c r="C36" s="9">
        <f>G9</f>
        <v>102512.22808944373</v>
      </c>
      <c r="D36" s="9">
        <f>L9</f>
        <v>343.38785897422542</v>
      </c>
      <c r="E36" s="9">
        <f>T9</f>
        <v>3159.0676164487218</v>
      </c>
      <c r="F36" s="9">
        <f>Z9</f>
        <v>3554.0910931632002</v>
      </c>
      <c r="G36" s="9">
        <f>AE9</f>
        <v>1299.5740700892454</v>
      </c>
      <c r="H36" s="11">
        <f>AN9</f>
        <v>1062465.495904576</v>
      </c>
    </row>
    <row r="37" spans="2:31" x14ac:dyDescent="0.25">
      <c r="C37" s="9">
        <f>G10</f>
        <v>6786.2120940317409</v>
      </c>
      <c r="D37" s="9">
        <f>L10</f>
        <v>167.64054705025225</v>
      </c>
      <c r="E37" s="9">
        <f>T10</f>
        <v>327.28380874096086</v>
      </c>
      <c r="F37" s="9">
        <f>Z10</f>
        <v>655.54528247852033</v>
      </c>
      <c r="G37" s="9">
        <f>AE10</f>
        <v>268.91674567266494</v>
      </c>
      <c r="H37" s="11">
        <f>AN10</f>
        <v>24126.260492908976</v>
      </c>
    </row>
    <row r="38" spans="2:31" x14ac:dyDescent="0.25">
      <c r="B38" t="s">
        <v>82</v>
      </c>
      <c r="C38" s="9">
        <f>G20</f>
        <v>41495.170837420621</v>
      </c>
      <c r="D38" s="9">
        <f>L20</f>
        <v>0</v>
      </c>
      <c r="E38" s="9">
        <f>T20</f>
        <v>96.777902252458532</v>
      </c>
      <c r="F38" s="9">
        <f>Z20</f>
        <v>8638.2635855914068</v>
      </c>
      <c r="G38" s="9">
        <f>AE20</f>
        <v>113.87287916762442</v>
      </c>
      <c r="H38" s="11">
        <f>AN20</f>
        <v>8849.4412192714863</v>
      </c>
      <c r="I38" s="40"/>
      <c r="J38" s="40"/>
      <c r="K38" s="40"/>
      <c r="L38" s="40"/>
      <c r="M38" s="40"/>
    </row>
    <row r="39" spans="2:31" x14ac:dyDescent="0.25">
      <c r="C39" s="9">
        <f>G21</f>
        <v>3598.8996912660364</v>
      </c>
      <c r="D39" s="9">
        <f>L21</f>
        <v>0</v>
      </c>
      <c r="E39" s="9">
        <f>T21</f>
        <v>23.010324414942549</v>
      </c>
      <c r="F39" s="9">
        <f>Z21</f>
        <v>524.47411736248182</v>
      </c>
      <c r="G39" s="9">
        <f>AE21</f>
        <v>255.57788693635069</v>
      </c>
      <c r="H39" s="11">
        <f>AN21</f>
        <v>1010.5094472718214</v>
      </c>
    </row>
    <row r="40" spans="2:31" x14ac:dyDescent="0.25">
      <c r="B40" t="s">
        <v>83</v>
      </c>
      <c r="C40" s="9">
        <f>G31</f>
        <v>65099.589918610698</v>
      </c>
      <c r="D40" s="9">
        <f>L31</f>
        <v>0</v>
      </c>
      <c r="E40" s="9">
        <f>T31</f>
        <v>326.65519547997235</v>
      </c>
      <c r="F40" s="9">
        <f>Z31</f>
        <v>6424.9612503936205</v>
      </c>
      <c r="G40" s="9">
        <f>AE31</f>
        <v>45.597372931202166</v>
      </c>
      <c r="H40" s="11">
        <f>AN31</f>
        <v>40155.268684297007</v>
      </c>
      <c r="I40" s="40"/>
      <c r="J40" s="40"/>
      <c r="K40" s="40"/>
      <c r="L40" s="40"/>
      <c r="M40" s="40"/>
    </row>
    <row r="41" spans="2:31" x14ac:dyDescent="0.25">
      <c r="C41" s="9">
        <f>G32</f>
        <v>7403.4777692161533</v>
      </c>
      <c r="D41" s="9">
        <f>L32</f>
        <v>0</v>
      </c>
      <c r="E41" s="9">
        <f>T32</f>
        <v>43.940790042482803</v>
      </c>
      <c r="F41" s="9">
        <f>Z32</f>
        <v>461.03408958816726</v>
      </c>
      <c r="G41" s="9">
        <f>AE32</f>
        <v>22.329539487159547</v>
      </c>
      <c r="H41" s="11">
        <f>AN32</f>
        <v>15427.790240113614</v>
      </c>
    </row>
    <row r="44" spans="2:31" x14ac:dyDescent="0.25">
      <c r="C44" t="s">
        <v>81</v>
      </c>
      <c r="E44" t="s">
        <v>82</v>
      </c>
      <c r="G44" t="s">
        <v>83</v>
      </c>
    </row>
    <row r="45" spans="2:31" x14ac:dyDescent="0.25">
      <c r="B45" t="s">
        <v>75</v>
      </c>
      <c r="C45">
        <v>102512.22808944373</v>
      </c>
      <c r="D45">
        <v>6786.2120940317409</v>
      </c>
      <c r="E45">
        <v>41495.170837420621</v>
      </c>
      <c r="F45">
        <v>3598.8996912660364</v>
      </c>
      <c r="G45">
        <v>65099.589918610698</v>
      </c>
      <c r="H45">
        <v>7403.4777692161533</v>
      </c>
    </row>
    <row r="46" spans="2:31" x14ac:dyDescent="0.25">
      <c r="B46" t="s">
        <v>78</v>
      </c>
      <c r="C46">
        <v>343.38785897422542</v>
      </c>
      <c r="D46">
        <v>167.64054705025225</v>
      </c>
      <c r="E46">
        <v>0</v>
      </c>
      <c r="F46">
        <v>0</v>
      </c>
      <c r="G46">
        <v>0</v>
      </c>
      <c r="H46">
        <v>0</v>
      </c>
    </row>
    <row r="47" spans="2:31" x14ac:dyDescent="0.25">
      <c r="B47" t="s">
        <v>76</v>
      </c>
      <c r="C47">
        <v>3159.0676164487218</v>
      </c>
      <c r="D47">
        <v>327.28380874096086</v>
      </c>
      <c r="E47">
        <v>96.777902252458532</v>
      </c>
      <c r="F47">
        <v>23.010324414942549</v>
      </c>
      <c r="G47">
        <v>326.65519547997235</v>
      </c>
      <c r="H47">
        <v>43.940790042482803</v>
      </c>
    </row>
    <row r="48" spans="2:31" x14ac:dyDescent="0.25">
      <c r="B48" t="s">
        <v>84</v>
      </c>
      <c r="C48">
        <v>3554.0910931632002</v>
      </c>
      <c r="D48">
        <v>655.54528247852033</v>
      </c>
      <c r="E48">
        <v>8638.2635855914068</v>
      </c>
      <c r="F48">
        <v>524.47411736248182</v>
      </c>
      <c r="G48">
        <v>6424.9612503936205</v>
      </c>
      <c r="H48">
        <v>461.03408958816726</v>
      </c>
    </row>
    <row r="49" spans="2:8" x14ac:dyDescent="0.25">
      <c r="B49" t="s">
        <v>85</v>
      </c>
      <c r="C49">
        <v>1299.5740700892454</v>
      </c>
      <c r="D49">
        <v>268.91674567266494</v>
      </c>
      <c r="E49">
        <v>113.87287916762442</v>
      </c>
      <c r="F49">
        <v>255.57788693635069</v>
      </c>
      <c r="G49">
        <v>45.597372931202166</v>
      </c>
      <c r="H49">
        <v>22.329539487159547</v>
      </c>
    </row>
    <row r="50" spans="2:8" x14ac:dyDescent="0.25">
      <c r="B50" t="s">
        <v>94</v>
      </c>
      <c r="C50">
        <v>1062465.495904576</v>
      </c>
      <c r="D50">
        <v>24126.260492908976</v>
      </c>
      <c r="E50">
        <v>8849.4412192714863</v>
      </c>
      <c r="F50">
        <v>1010.5094472718214</v>
      </c>
      <c r="G50">
        <v>40155.268684297007</v>
      </c>
      <c r="H50">
        <v>15427.790240113614</v>
      </c>
    </row>
  </sheetData>
  <pageMargins left="0.7" right="0.7" top="0.75" bottom="0.75" header="0.3" footer="0.3"/>
  <pageSetup paperSize="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8"/>
  <sheetViews>
    <sheetView topLeftCell="H46" zoomScale="70" zoomScaleNormal="70" workbookViewId="0">
      <selection activeCell="C54" sqref="C54"/>
    </sheetView>
  </sheetViews>
  <sheetFormatPr defaultRowHeight="15" x14ac:dyDescent="0.25"/>
  <cols>
    <col min="1" max="1" width="14.5703125" bestFit="1" customWidth="1"/>
    <col min="2" max="2" width="19.85546875" bestFit="1" customWidth="1"/>
    <col min="3" max="3" width="17" bestFit="1" customWidth="1"/>
    <col min="4" max="4" width="14.42578125" bestFit="1" customWidth="1"/>
    <col min="5" max="5" width="14.28515625" bestFit="1" customWidth="1"/>
    <col min="6" max="6" width="16.85546875" bestFit="1" customWidth="1"/>
    <col min="7" max="7" width="16.42578125" bestFit="1" customWidth="1"/>
    <col min="8" max="9" width="9.28515625" bestFit="1" customWidth="1"/>
    <col min="10" max="10" width="13.85546875" bestFit="1" customWidth="1"/>
    <col min="11" max="12" width="9.28515625" bestFit="1" customWidth="1"/>
    <col min="13" max="13" width="14.28515625" bestFit="1" customWidth="1"/>
    <col min="14" max="14" width="9.28515625" bestFit="1" customWidth="1"/>
    <col min="15" max="15" width="14.42578125" bestFit="1" customWidth="1"/>
    <col min="16" max="16" width="9.28515625" bestFit="1" customWidth="1"/>
    <col min="17" max="18" width="16" bestFit="1" customWidth="1"/>
    <col min="19" max="19" width="15.140625" bestFit="1" customWidth="1"/>
    <col min="20" max="20" width="9.28515625" bestFit="1" customWidth="1"/>
    <col min="21" max="21" width="15.42578125" bestFit="1" customWidth="1"/>
    <col min="22" max="23" width="9.28515625" bestFit="1" customWidth="1"/>
    <col min="24" max="24" width="13.85546875" bestFit="1" customWidth="1"/>
    <col min="25" max="25" width="9.28515625" bestFit="1" customWidth="1"/>
    <col min="26" max="26" width="13.85546875" bestFit="1" customWidth="1"/>
    <col min="27" max="32" width="9.28515625" bestFit="1" customWidth="1"/>
    <col min="33" max="33" width="14.5703125" bestFit="1" customWidth="1"/>
    <col min="34" max="34" width="15" bestFit="1" customWidth="1"/>
    <col min="35" max="37" width="9.28515625" bestFit="1" customWidth="1"/>
    <col min="38" max="38" width="14.28515625" bestFit="1" customWidth="1"/>
    <col min="39" max="39" width="9.28515625" bestFit="1" customWidth="1"/>
    <col min="40" max="40" width="15.42578125" bestFit="1" customWidth="1"/>
    <col min="41" max="41" width="15.42578125" customWidth="1"/>
    <col min="42" max="42" width="9.28515625" bestFit="1" customWidth="1"/>
    <col min="43" max="43" width="16.85546875" bestFit="1" customWidth="1"/>
    <col min="44" max="47" width="9.28515625" bestFit="1" customWidth="1"/>
    <col min="48" max="48" width="14.28515625" bestFit="1" customWidth="1"/>
  </cols>
  <sheetData>
    <row r="1" spans="1:49" ht="251.25" customHeight="1" x14ac:dyDescent="0.25">
      <c r="A1" s="10" t="s">
        <v>0</v>
      </c>
      <c r="B1" s="10" t="s">
        <v>46</v>
      </c>
      <c r="C1" s="10" t="s">
        <v>47</v>
      </c>
      <c r="D1" s="10" t="s">
        <v>48</v>
      </c>
      <c r="E1" s="10" t="s">
        <v>49</v>
      </c>
      <c r="F1" s="10"/>
      <c r="G1" s="10"/>
      <c r="H1" s="10"/>
      <c r="I1" s="10"/>
      <c r="J1" s="10" t="s">
        <v>51</v>
      </c>
      <c r="K1" s="10" t="s">
        <v>52</v>
      </c>
      <c r="L1" s="10" t="s">
        <v>53</v>
      </c>
      <c r="M1" s="10" t="s">
        <v>54</v>
      </c>
      <c r="N1" s="10"/>
      <c r="O1" s="10"/>
      <c r="P1" s="10"/>
      <c r="Q1" s="10" t="s">
        <v>55</v>
      </c>
      <c r="R1" s="10" t="s">
        <v>56</v>
      </c>
      <c r="S1" s="10" t="s">
        <v>57</v>
      </c>
      <c r="T1" s="10"/>
      <c r="W1" s="10" t="s">
        <v>65</v>
      </c>
      <c r="X1" s="10" t="s">
        <v>66</v>
      </c>
      <c r="AB1" s="33" t="s">
        <v>69</v>
      </c>
      <c r="AC1" s="10" t="s">
        <v>70</v>
      </c>
      <c r="AE1" s="33"/>
      <c r="AG1" s="10" t="s">
        <v>88</v>
      </c>
      <c r="AH1" s="10" t="s">
        <v>89</v>
      </c>
      <c r="AI1" s="10" t="s">
        <v>90</v>
      </c>
      <c r="AJ1" s="10" t="s">
        <v>91</v>
      </c>
      <c r="AK1" s="10" t="s">
        <v>92</v>
      </c>
      <c r="AL1" s="10" t="s">
        <v>93</v>
      </c>
      <c r="AN1" s="10"/>
      <c r="AO1" s="10"/>
      <c r="AP1" s="10" t="s">
        <v>58</v>
      </c>
      <c r="AQ1" s="10" t="s">
        <v>59</v>
      </c>
      <c r="AR1" s="10" t="s">
        <v>60</v>
      </c>
      <c r="AS1" s="10" t="s">
        <v>61</v>
      </c>
      <c r="AT1" s="10" t="s">
        <v>62</v>
      </c>
      <c r="AU1" s="10" t="s">
        <v>63</v>
      </c>
      <c r="AV1" s="10" t="s">
        <v>64</v>
      </c>
      <c r="AW1" s="10"/>
    </row>
    <row r="2" spans="1:49" ht="15.75" thickBot="1" x14ac:dyDescent="0.3"/>
    <row r="3" spans="1:49" x14ac:dyDescent="0.25">
      <c r="A3" t="s">
        <v>22</v>
      </c>
      <c r="B3" s="121">
        <v>32441812.918957017</v>
      </c>
      <c r="C3" s="122">
        <v>54502245.703882664</v>
      </c>
      <c r="D3" s="122">
        <v>0</v>
      </c>
      <c r="E3" s="123">
        <v>1297672.5167598664</v>
      </c>
      <c r="F3" s="46"/>
      <c r="G3" s="47">
        <f>SUM(B3:E3)</f>
        <v>88241731.139599562</v>
      </c>
      <c r="H3" s="46"/>
      <c r="I3" s="46"/>
      <c r="J3" s="130">
        <v>3893017.5502795982</v>
      </c>
      <c r="K3" s="131">
        <v>0</v>
      </c>
      <c r="L3" s="131">
        <v>0</v>
      </c>
      <c r="M3" s="132">
        <v>0</v>
      </c>
      <c r="N3" s="46"/>
      <c r="O3" s="48">
        <f>SUM(J3:M3)</f>
        <v>3893017.5502795982</v>
      </c>
      <c r="P3" s="46"/>
      <c r="Q3" s="139">
        <v>9083707.6173269898</v>
      </c>
      <c r="R3" s="140">
        <v>7786035.100551269</v>
      </c>
      <c r="S3" s="141">
        <v>0</v>
      </c>
      <c r="T3" s="46"/>
      <c r="U3" s="47">
        <f>SUM(Q3:S3)</f>
        <v>16869742.71787826</v>
      </c>
      <c r="V3" s="49"/>
      <c r="W3" s="43">
        <v>0</v>
      </c>
      <c r="X3" s="45">
        <v>1297672.5167598664</v>
      </c>
      <c r="Y3" s="46"/>
      <c r="Z3" s="50">
        <f t="shared" ref="Z3:Z6" si="0">SUM(W3:X3)</f>
        <v>1297672.5167598664</v>
      </c>
      <c r="AB3" s="113">
        <v>0</v>
      </c>
      <c r="AC3" s="114">
        <v>0</v>
      </c>
      <c r="AE3" s="28">
        <f t="shared" ref="AE3:AE6" si="1">SUM(AB3:AC3)</f>
        <v>0</v>
      </c>
      <c r="AG3" s="113">
        <v>11679052.650815012</v>
      </c>
      <c r="AH3" s="119">
        <v>7786035.100551269</v>
      </c>
      <c r="AI3" s="119">
        <v>0</v>
      </c>
      <c r="AJ3" s="119">
        <v>0</v>
      </c>
      <c r="AK3" s="119">
        <v>0</v>
      </c>
      <c r="AL3" s="114">
        <v>5190690.0670394655</v>
      </c>
      <c r="AN3" s="27">
        <f>SUM(AG3:AL3)</f>
        <v>24655777.818405747</v>
      </c>
      <c r="AO3" s="19"/>
      <c r="AP3">
        <v>0</v>
      </c>
      <c r="AQ3">
        <v>315334421.57264727</v>
      </c>
      <c r="AR3">
        <v>0</v>
      </c>
      <c r="AS3">
        <v>0</v>
      </c>
      <c r="AT3">
        <v>0</v>
      </c>
      <c r="AU3">
        <v>0</v>
      </c>
      <c r="AV3">
        <v>0</v>
      </c>
    </row>
    <row r="4" spans="1:49" x14ac:dyDescent="0.25">
      <c r="A4" t="s">
        <v>23</v>
      </c>
      <c r="B4" s="124">
        <v>45429692.86466644</v>
      </c>
      <c r="C4" s="125">
        <v>45429692.86466644</v>
      </c>
      <c r="D4" s="125">
        <v>0</v>
      </c>
      <c r="E4" s="126">
        <v>0</v>
      </c>
      <c r="F4" s="46"/>
      <c r="G4" s="50">
        <f t="shared" ref="G4:G6" si="2">SUM(B4:E4)</f>
        <v>90859385.729332879</v>
      </c>
      <c r="H4" s="46"/>
      <c r="I4" s="46"/>
      <c r="J4" s="133">
        <v>8518067.4121596403</v>
      </c>
      <c r="K4" s="134">
        <v>0</v>
      </c>
      <c r="L4" s="134">
        <v>0</v>
      </c>
      <c r="M4" s="135">
        <v>0</v>
      </c>
      <c r="N4" s="46"/>
      <c r="O4" s="53">
        <f t="shared" ref="O4:O5" si="3">SUM(J4:M4)</f>
        <v>8518067.4121596403</v>
      </c>
      <c r="P4" s="46"/>
      <c r="Q4" s="142">
        <v>5678711.6080773594</v>
      </c>
      <c r="R4" s="143">
        <v>2839355.8040426439</v>
      </c>
      <c r="S4" s="144">
        <v>0</v>
      </c>
      <c r="T4" s="46"/>
      <c r="U4" s="50">
        <f t="shared" ref="U4:U6" si="4">SUM(Q4:S4)</f>
        <v>8518067.4121200033</v>
      </c>
      <c r="V4" s="49"/>
      <c r="W4" s="51">
        <v>0</v>
      </c>
      <c r="X4" s="52">
        <v>0</v>
      </c>
      <c r="Y4" s="46"/>
      <c r="Z4" s="50">
        <f t="shared" si="0"/>
        <v>0</v>
      </c>
      <c r="AB4" s="115">
        <v>0</v>
      </c>
      <c r="AC4" s="116">
        <v>0</v>
      </c>
      <c r="AE4" s="28">
        <f t="shared" si="1"/>
        <v>0</v>
      </c>
      <c r="AG4" s="115">
        <v>17036134.824240007</v>
      </c>
      <c r="AH4" s="36">
        <v>11357423.216186428</v>
      </c>
      <c r="AI4" s="36">
        <v>0</v>
      </c>
      <c r="AJ4" s="36">
        <v>0</v>
      </c>
      <c r="AK4" s="36">
        <v>0</v>
      </c>
      <c r="AL4" s="116">
        <v>0</v>
      </c>
      <c r="AN4" s="28">
        <f t="shared" ref="AN4:AN6" si="5">SUM(AG4:AL4)</f>
        <v>28393558.040426433</v>
      </c>
      <c r="AO4" s="19"/>
      <c r="AP4">
        <v>0</v>
      </c>
      <c r="AQ4">
        <v>528971986.292759</v>
      </c>
      <c r="AR4">
        <v>0</v>
      </c>
      <c r="AS4">
        <v>0</v>
      </c>
      <c r="AT4">
        <v>0</v>
      </c>
      <c r="AU4">
        <v>0</v>
      </c>
      <c r="AV4">
        <v>0</v>
      </c>
    </row>
    <row r="5" spans="1:49" x14ac:dyDescent="0.25">
      <c r="A5" t="s">
        <v>26</v>
      </c>
      <c r="B5" s="124">
        <v>36616542.285812408</v>
      </c>
      <c r="C5" s="125">
        <v>75521618.464478195</v>
      </c>
      <c r="D5" s="125">
        <v>0</v>
      </c>
      <c r="E5" s="126">
        <v>2288533.8928612941</v>
      </c>
      <c r="F5" s="46"/>
      <c r="G5" s="50">
        <f t="shared" si="2"/>
        <v>114426694.64315189</v>
      </c>
      <c r="H5" s="46"/>
      <c r="I5" s="46"/>
      <c r="J5" s="133">
        <v>0</v>
      </c>
      <c r="K5" s="134">
        <v>0</v>
      </c>
      <c r="L5" s="134">
        <v>0</v>
      </c>
      <c r="M5" s="135">
        <v>2288533.8928612941</v>
      </c>
      <c r="N5" s="46"/>
      <c r="O5" s="53">
        <f t="shared" si="3"/>
        <v>2288533.8928612941</v>
      </c>
      <c r="P5" s="46"/>
      <c r="Q5" s="142">
        <v>9154135.5714927427</v>
      </c>
      <c r="R5" s="143">
        <v>13731203.357199475</v>
      </c>
      <c r="S5" s="144">
        <v>6865601.6785918092</v>
      </c>
      <c r="T5" s="46"/>
      <c r="U5" s="50">
        <f t="shared" si="4"/>
        <v>29750940.607284028</v>
      </c>
      <c r="V5" s="49"/>
      <c r="W5" s="51">
        <v>0</v>
      </c>
      <c r="X5" s="52">
        <v>0</v>
      </c>
      <c r="Y5" s="46"/>
      <c r="Z5" s="50">
        <f t="shared" si="0"/>
        <v>0</v>
      </c>
      <c r="AB5" s="115">
        <v>0</v>
      </c>
      <c r="AC5" s="116">
        <v>0</v>
      </c>
      <c r="AE5" s="28">
        <f t="shared" si="1"/>
        <v>0</v>
      </c>
      <c r="AG5" s="115">
        <v>0</v>
      </c>
      <c r="AH5" s="36">
        <v>0</v>
      </c>
      <c r="AI5" s="36">
        <v>0</v>
      </c>
      <c r="AJ5" s="36">
        <v>0</v>
      </c>
      <c r="AK5" s="36">
        <v>0</v>
      </c>
      <c r="AL5" s="116">
        <v>0</v>
      </c>
      <c r="AN5" s="28">
        <f t="shared" si="5"/>
        <v>0</v>
      </c>
      <c r="AO5" s="19"/>
      <c r="AP5">
        <v>0</v>
      </c>
      <c r="AQ5">
        <v>574650860.49804854</v>
      </c>
      <c r="AR5">
        <v>0</v>
      </c>
      <c r="AS5">
        <v>0</v>
      </c>
      <c r="AT5">
        <v>0</v>
      </c>
      <c r="AU5">
        <v>0</v>
      </c>
      <c r="AV5">
        <v>0</v>
      </c>
    </row>
    <row r="6" spans="1:49" ht="15.75" thickBot="1" x14ac:dyDescent="0.3">
      <c r="A6" t="s">
        <v>27</v>
      </c>
      <c r="B6" s="127">
        <v>68818261.532644972</v>
      </c>
      <c r="C6" s="128">
        <v>86022826.91600439</v>
      </c>
      <c r="D6" s="128">
        <v>0</v>
      </c>
      <c r="E6" s="129">
        <v>1911618.3759085664</v>
      </c>
      <c r="F6" s="46"/>
      <c r="G6" s="57">
        <f t="shared" si="2"/>
        <v>156752706.8245579</v>
      </c>
      <c r="H6" s="46"/>
      <c r="I6" s="46"/>
      <c r="J6" s="136">
        <v>0</v>
      </c>
      <c r="K6" s="137">
        <v>0</v>
      </c>
      <c r="L6" s="137">
        <v>0</v>
      </c>
      <c r="M6" s="138">
        <v>0</v>
      </c>
      <c r="N6" s="46"/>
      <c r="O6" s="57">
        <f>SUM(J6:M6)</f>
        <v>0</v>
      </c>
      <c r="P6" s="46"/>
      <c r="Q6" s="145">
        <v>5734855.1277177706</v>
      </c>
      <c r="R6" s="146">
        <v>11469710.255467251</v>
      </c>
      <c r="S6" s="147">
        <v>21027802.134970445</v>
      </c>
      <c r="T6" s="46"/>
      <c r="U6" s="57">
        <f t="shared" si="4"/>
        <v>38232367.51815547</v>
      </c>
      <c r="V6" s="49"/>
      <c r="W6" s="54">
        <v>0</v>
      </c>
      <c r="X6" s="56">
        <v>0</v>
      </c>
      <c r="Y6" s="46"/>
      <c r="Z6" s="57">
        <f t="shared" si="0"/>
        <v>0</v>
      </c>
      <c r="AB6" s="117">
        <v>0</v>
      </c>
      <c r="AC6" s="118">
        <v>0</v>
      </c>
      <c r="AE6" s="29">
        <f t="shared" si="1"/>
        <v>0</v>
      </c>
      <c r="AG6" s="117">
        <v>1911618.3759085664</v>
      </c>
      <c r="AH6" s="120">
        <v>3823236.7518092049</v>
      </c>
      <c r="AI6" s="120">
        <v>0</v>
      </c>
      <c r="AJ6" s="120">
        <v>0</v>
      </c>
      <c r="AK6" s="120">
        <v>0</v>
      </c>
      <c r="AL6" s="118">
        <v>7646473.5036263373</v>
      </c>
      <c r="AN6" s="29">
        <f t="shared" si="5"/>
        <v>13381328.63134411</v>
      </c>
      <c r="AO6" s="19"/>
      <c r="AP6">
        <v>0</v>
      </c>
      <c r="AQ6">
        <v>260480335.70767474</v>
      </c>
      <c r="AR6">
        <v>0</v>
      </c>
      <c r="AS6">
        <v>0</v>
      </c>
      <c r="AT6">
        <v>0</v>
      </c>
      <c r="AU6">
        <v>0</v>
      </c>
      <c r="AV6">
        <v>0</v>
      </c>
    </row>
    <row r="7" spans="1:49" ht="15.75" thickBot="1" x14ac:dyDescent="0.3">
      <c r="B7" s="46"/>
      <c r="C7" s="46"/>
      <c r="D7" s="46"/>
      <c r="E7" s="46"/>
      <c r="F7" s="46"/>
      <c r="G7" s="49"/>
      <c r="H7" s="46"/>
      <c r="I7" s="46"/>
      <c r="J7" s="46"/>
      <c r="K7" s="46"/>
      <c r="L7" s="46"/>
      <c r="M7" s="46"/>
      <c r="N7" s="46"/>
      <c r="O7" s="49"/>
      <c r="P7" s="46"/>
      <c r="Q7" s="46"/>
      <c r="R7" s="46"/>
      <c r="S7" s="46"/>
      <c r="T7" s="46"/>
      <c r="U7" s="49"/>
      <c r="V7" s="49"/>
      <c r="W7" s="46"/>
      <c r="X7" s="46"/>
      <c r="Y7" s="46"/>
      <c r="Z7" s="46"/>
    </row>
    <row r="8" spans="1:49" ht="15.75" thickBot="1" x14ac:dyDescent="0.3">
      <c r="B8" s="58">
        <f>AVERAGE(B3:B6)</f>
        <v>45826577.400520205</v>
      </c>
      <c r="C8" s="59">
        <f t="shared" ref="C8:E8" si="6">AVERAGE(C3:C6)</f>
        <v>65369095.98725792</v>
      </c>
      <c r="D8" s="59">
        <f t="shared" si="6"/>
        <v>0</v>
      </c>
      <c r="E8" s="60">
        <f t="shared" si="6"/>
        <v>1374456.1963824318</v>
      </c>
      <c r="F8" s="46"/>
      <c r="G8" s="61">
        <f>AVERAGE(G3:G6)</f>
        <v>112570129.58416055</v>
      </c>
      <c r="H8" s="46"/>
      <c r="I8" s="46"/>
      <c r="J8" s="46"/>
      <c r="K8" s="46"/>
      <c r="L8" s="46"/>
      <c r="M8" s="46"/>
      <c r="N8" s="46"/>
      <c r="O8" s="62">
        <f>AVERAGE(O3:O5)</f>
        <v>4899872.9517668439</v>
      </c>
      <c r="P8" s="46"/>
      <c r="Q8" s="112">
        <f t="shared" ref="Q8:S8" si="7">AVERAGE(Q3:Q6)</f>
        <v>7412852.4811537154</v>
      </c>
      <c r="R8" s="112">
        <f t="shared" si="7"/>
        <v>8956576.1293151602</v>
      </c>
      <c r="S8" s="112">
        <f t="shared" si="7"/>
        <v>6973350.9533905638</v>
      </c>
      <c r="T8" s="46"/>
      <c r="U8" s="62">
        <f>AVERAGE(U3:U6)</f>
        <v>23342779.56385944</v>
      </c>
      <c r="V8" s="63"/>
      <c r="W8" s="46"/>
      <c r="X8" s="46"/>
      <c r="Y8" s="46"/>
      <c r="Z8" s="61">
        <f>AVERAGE(Z3:Z6)</f>
        <v>324418.1291899666</v>
      </c>
      <c r="AE8" s="30">
        <f>AVERAGE(AE3:AE6)</f>
        <v>0</v>
      </c>
      <c r="AN8" s="30">
        <f>AVERAGE(AN3:AN6)</f>
        <v>16607666.122544073</v>
      </c>
      <c r="AO8" s="69"/>
    </row>
    <row r="9" spans="1:49" ht="15.75" thickBot="1" x14ac:dyDescent="0.3">
      <c r="B9" s="46"/>
      <c r="C9" s="46"/>
      <c r="D9" s="46"/>
      <c r="E9" s="46"/>
      <c r="F9" s="46"/>
      <c r="G9" s="64">
        <f>STDEV(G3:G6)</f>
        <v>31721571.708797827</v>
      </c>
      <c r="H9" s="46"/>
      <c r="I9" s="46"/>
      <c r="J9" s="46"/>
      <c r="K9" s="46"/>
      <c r="L9" s="46"/>
      <c r="M9" s="46"/>
      <c r="N9" s="46"/>
      <c r="O9" s="65">
        <f>STDEV(O3:O5)</f>
        <v>3234515.4686047561</v>
      </c>
      <c r="P9" s="46"/>
      <c r="Q9" s="46"/>
      <c r="R9" s="46"/>
      <c r="S9" s="46"/>
      <c r="T9" s="46"/>
      <c r="U9" s="65">
        <f>STDEV(U3:U6)</f>
        <v>13221657.155320872</v>
      </c>
      <c r="V9" s="63"/>
      <c r="W9" s="46"/>
      <c r="X9" s="46"/>
      <c r="Y9" s="46"/>
      <c r="Z9" s="64">
        <f>STDEV(Z3:Z6)</f>
        <v>648836.25837993319</v>
      </c>
      <c r="AE9" s="31">
        <f>STDEV(AE3:AE6)</f>
        <v>0</v>
      </c>
      <c r="AN9" s="31">
        <f>STDEV(AN3:AN6)</f>
        <v>12778930.286661854</v>
      </c>
      <c r="AO9" s="69"/>
    </row>
    <row r="10" spans="1:49" ht="15.75" thickBot="1" x14ac:dyDescent="0.3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49" x14ac:dyDescent="0.25">
      <c r="A11" t="s">
        <v>24</v>
      </c>
      <c r="B11" s="43">
        <v>9588190.0543692969</v>
      </c>
      <c r="C11" s="44">
        <v>12089457.025086328</v>
      </c>
      <c r="D11" s="44">
        <v>0</v>
      </c>
      <c r="E11" s="45">
        <v>0</v>
      </c>
      <c r="F11" s="46"/>
      <c r="G11" s="47">
        <f>SUM(B11:E11)</f>
        <v>21677647.079455625</v>
      </c>
      <c r="H11" s="46"/>
      <c r="I11" s="46"/>
      <c r="J11" s="43">
        <v>0</v>
      </c>
      <c r="K11" s="44">
        <v>0</v>
      </c>
      <c r="L11" s="44">
        <v>0</v>
      </c>
      <c r="M11" s="45">
        <v>0</v>
      </c>
      <c r="N11" s="46"/>
      <c r="O11" s="47">
        <f>SUM(J11:M11)</f>
        <v>0</v>
      </c>
      <c r="P11" s="46"/>
      <c r="Q11" s="104">
        <v>10421945.711288113</v>
      </c>
      <c r="R11" s="105">
        <v>8337556.5690304916</v>
      </c>
      <c r="S11" s="106">
        <v>0</v>
      </c>
      <c r="T11" s="46"/>
      <c r="U11" s="47">
        <f>SUM(Q11:S11)</f>
        <v>18759502.280318603</v>
      </c>
      <c r="V11" s="49"/>
      <c r="W11" s="43">
        <v>0</v>
      </c>
      <c r="X11" s="45">
        <v>0</v>
      </c>
      <c r="Y11" s="46"/>
      <c r="Z11" s="50">
        <f t="shared" ref="Z11:Z14" si="8">SUM(W11:X11)</f>
        <v>0</v>
      </c>
      <c r="AB11" s="113">
        <v>0</v>
      </c>
      <c r="AC11" s="114">
        <v>0</v>
      </c>
      <c r="AE11" s="28">
        <f t="shared" ref="AE11:AE14" si="9">SUM(AB11:AC11)</f>
        <v>0</v>
      </c>
      <c r="AG11" s="113">
        <v>2084389.1422576229</v>
      </c>
      <c r="AH11" s="119">
        <v>833755.65690304909</v>
      </c>
      <c r="AI11" s="119">
        <v>0</v>
      </c>
      <c r="AJ11" s="119">
        <v>0</v>
      </c>
      <c r="AK11" s="119">
        <v>0</v>
      </c>
      <c r="AL11" s="114">
        <v>0</v>
      </c>
      <c r="AN11" s="27">
        <f>SUM(AG11:AL11)</f>
        <v>2918144.7991606719</v>
      </c>
      <c r="AO11" s="19"/>
      <c r="AP11">
        <v>0</v>
      </c>
      <c r="AQ11">
        <v>30390393.694052275</v>
      </c>
      <c r="AR11">
        <v>0</v>
      </c>
      <c r="AS11">
        <v>0</v>
      </c>
      <c r="AT11">
        <v>0</v>
      </c>
      <c r="AU11">
        <v>0</v>
      </c>
      <c r="AV11">
        <v>0</v>
      </c>
    </row>
    <row r="12" spans="1:49" x14ac:dyDescent="0.25">
      <c r="A12" t="s">
        <v>25</v>
      </c>
      <c r="B12" s="51">
        <v>13394484.355535358</v>
      </c>
      <c r="C12" s="49">
        <v>17412829.662195969</v>
      </c>
      <c r="D12" s="49">
        <v>0</v>
      </c>
      <c r="E12" s="52">
        <v>0</v>
      </c>
      <c r="F12" s="46"/>
      <c r="G12" s="50">
        <f t="shared" ref="G12:G14" si="10">SUM(B12:E12)</f>
        <v>30807314.017731328</v>
      </c>
      <c r="H12" s="46"/>
      <c r="I12" s="46"/>
      <c r="J12" s="51">
        <v>0</v>
      </c>
      <c r="K12" s="49">
        <v>0</v>
      </c>
      <c r="L12" s="49">
        <v>0</v>
      </c>
      <c r="M12" s="52">
        <v>0</v>
      </c>
      <c r="N12" s="46"/>
      <c r="O12" s="50">
        <f t="shared" ref="O12:O14" si="11">SUM(J12:M12)</f>
        <v>0</v>
      </c>
      <c r="P12" s="46"/>
      <c r="Q12" s="107">
        <v>8036690.6133212158</v>
      </c>
      <c r="R12" s="42">
        <v>7366966.3955543032</v>
      </c>
      <c r="S12" s="108">
        <v>0</v>
      </c>
      <c r="T12" s="46"/>
      <c r="U12" s="50">
        <f t="shared" ref="U12:U14" si="12">SUM(Q12:S12)</f>
        <v>15403657.008875519</v>
      </c>
      <c r="V12" s="49"/>
      <c r="W12" s="51">
        <v>0</v>
      </c>
      <c r="X12" s="52">
        <v>0</v>
      </c>
      <c r="Y12" s="46"/>
      <c r="Z12" s="50">
        <f t="shared" si="8"/>
        <v>0</v>
      </c>
      <c r="AB12" s="115">
        <v>0</v>
      </c>
      <c r="AC12" s="116">
        <v>0</v>
      </c>
      <c r="AE12" s="28">
        <f t="shared" si="9"/>
        <v>0</v>
      </c>
      <c r="AG12" s="115">
        <v>1339448.4355535361</v>
      </c>
      <c r="AH12" s="36">
        <v>1339448.4355535361</v>
      </c>
      <c r="AI12" s="36">
        <v>0</v>
      </c>
      <c r="AJ12" s="36">
        <v>0</v>
      </c>
      <c r="AK12" s="36">
        <v>0</v>
      </c>
      <c r="AL12" s="116">
        <v>669724.21777676803</v>
      </c>
      <c r="AN12" s="28">
        <f t="shared" ref="AN12:AN14" si="13">SUM(AG12:AL12)</f>
        <v>3348621.08888384</v>
      </c>
      <c r="AO12" s="19"/>
      <c r="AP12">
        <v>0</v>
      </c>
      <c r="AQ12">
        <v>65097193.967901841</v>
      </c>
      <c r="AR12">
        <v>0</v>
      </c>
      <c r="AS12">
        <v>0</v>
      </c>
      <c r="AT12">
        <v>0</v>
      </c>
      <c r="AU12">
        <v>0</v>
      </c>
      <c r="AV12">
        <v>5424766.163991821</v>
      </c>
    </row>
    <row r="13" spans="1:49" x14ac:dyDescent="0.25">
      <c r="A13" t="s">
        <v>28</v>
      </c>
      <c r="B13" s="51">
        <v>10651303.610730169</v>
      </c>
      <c r="C13" s="49">
        <v>15216148.015311919</v>
      </c>
      <c r="D13" s="49">
        <v>0</v>
      </c>
      <c r="E13" s="52">
        <v>0</v>
      </c>
      <c r="F13" s="46"/>
      <c r="G13" s="50">
        <f t="shared" si="10"/>
        <v>25867451.62604209</v>
      </c>
      <c r="H13" s="46"/>
      <c r="I13" s="46"/>
      <c r="J13" s="51">
        <v>0</v>
      </c>
      <c r="K13" s="49">
        <v>0</v>
      </c>
      <c r="L13" s="49">
        <v>0</v>
      </c>
      <c r="M13" s="52">
        <v>0</v>
      </c>
      <c r="N13" s="46"/>
      <c r="O13" s="50">
        <f t="shared" si="11"/>
        <v>0</v>
      </c>
      <c r="P13" s="46"/>
      <c r="Q13" s="107">
        <v>1521614.8015311919</v>
      </c>
      <c r="R13" s="42">
        <v>8622483.8753539324</v>
      </c>
      <c r="S13" s="108">
        <v>0</v>
      </c>
      <c r="T13" s="46"/>
      <c r="U13" s="50">
        <f t="shared" si="12"/>
        <v>10144098.676885124</v>
      </c>
      <c r="V13" s="49"/>
      <c r="W13" s="51">
        <v>0</v>
      </c>
      <c r="X13" s="52">
        <v>0</v>
      </c>
      <c r="Y13" s="46"/>
      <c r="Z13" s="50">
        <f t="shared" si="8"/>
        <v>0</v>
      </c>
      <c r="AB13" s="115">
        <v>0</v>
      </c>
      <c r="AC13" s="116">
        <v>0</v>
      </c>
      <c r="AE13" s="28">
        <f t="shared" si="9"/>
        <v>0</v>
      </c>
      <c r="AG13" s="115">
        <v>1014409.8676881182</v>
      </c>
      <c r="AH13" s="36">
        <v>507204.93384307373</v>
      </c>
      <c r="AI13" s="36">
        <v>0</v>
      </c>
      <c r="AJ13" s="36">
        <v>0</v>
      </c>
      <c r="AK13" s="36">
        <v>0</v>
      </c>
      <c r="AL13" s="116">
        <v>0</v>
      </c>
      <c r="AN13" s="28">
        <f t="shared" si="13"/>
        <v>1521614.8015311919</v>
      </c>
      <c r="AO13" s="19"/>
      <c r="AP13">
        <v>0</v>
      </c>
      <c r="AQ13">
        <v>24650159.784741446</v>
      </c>
      <c r="AR13">
        <v>0</v>
      </c>
      <c r="AS13">
        <v>0</v>
      </c>
      <c r="AT13">
        <v>0</v>
      </c>
      <c r="AU13">
        <v>0</v>
      </c>
      <c r="AV13">
        <v>0</v>
      </c>
    </row>
    <row r="14" spans="1:49" ht="15.75" thickBot="1" x14ac:dyDescent="0.3">
      <c r="A14" t="s">
        <v>29</v>
      </c>
      <c r="B14" s="54">
        <v>13827633.636317898</v>
      </c>
      <c r="C14" s="55">
        <v>19807150.884447914</v>
      </c>
      <c r="D14" s="55">
        <v>0</v>
      </c>
      <c r="E14" s="56">
        <v>0</v>
      </c>
      <c r="F14" s="46"/>
      <c r="G14" s="57">
        <f t="shared" si="10"/>
        <v>33634784.520765811</v>
      </c>
      <c r="H14" s="46"/>
      <c r="I14" s="46"/>
      <c r="J14" s="54">
        <v>0</v>
      </c>
      <c r="K14" s="55">
        <v>0</v>
      </c>
      <c r="L14" s="55">
        <v>0</v>
      </c>
      <c r="M14" s="56">
        <v>0</v>
      </c>
      <c r="N14" s="46"/>
      <c r="O14" s="57">
        <f t="shared" si="11"/>
        <v>0</v>
      </c>
      <c r="P14" s="46"/>
      <c r="Q14" s="109">
        <v>3363478.4520805227</v>
      </c>
      <c r="R14" s="110">
        <v>10837875.012252893</v>
      </c>
      <c r="S14" s="111">
        <v>0</v>
      </c>
      <c r="T14" s="46"/>
      <c r="U14" s="57">
        <f t="shared" si="12"/>
        <v>14201353.464333415</v>
      </c>
      <c r="V14" s="49"/>
      <c r="W14" s="54">
        <v>0</v>
      </c>
      <c r="X14" s="56">
        <v>0</v>
      </c>
      <c r="Y14" s="46"/>
      <c r="Z14" s="57">
        <f t="shared" si="8"/>
        <v>0</v>
      </c>
      <c r="AB14" s="117">
        <v>0</v>
      </c>
      <c r="AC14" s="118">
        <v>0</v>
      </c>
      <c r="AE14" s="29">
        <f t="shared" si="9"/>
        <v>0</v>
      </c>
      <c r="AG14" s="117">
        <v>1868599.1400421071</v>
      </c>
      <c r="AH14" s="120">
        <v>2242318.9680536822</v>
      </c>
      <c r="AI14" s="120">
        <v>0</v>
      </c>
      <c r="AJ14" s="120">
        <v>0</v>
      </c>
      <c r="AK14" s="120">
        <v>0</v>
      </c>
      <c r="AL14" s="118">
        <v>0</v>
      </c>
      <c r="AN14" s="29">
        <f t="shared" si="13"/>
        <v>4110918.1080957893</v>
      </c>
      <c r="AO14" s="19"/>
      <c r="AP14">
        <v>0</v>
      </c>
      <c r="AQ14">
        <v>51461220.316778779</v>
      </c>
      <c r="AR14">
        <v>0</v>
      </c>
      <c r="AS14">
        <v>0</v>
      </c>
      <c r="AT14">
        <v>0</v>
      </c>
      <c r="AU14">
        <v>0</v>
      </c>
      <c r="AV14">
        <v>0</v>
      </c>
    </row>
    <row r="15" spans="1:49" ht="15.75" thickBot="1" x14ac:dyDescent="0.3">
      <c r="B15" s="46"/>
      <c r="C15" s="46"/>
      <c r="D15" s="46"/>
      <c r="E15" s="46"/>
      <c r="F15" s="46"/>
      <c r="G15" s="49"/>
      <c r="H15" s="46"/>
      <c r="I15" s="46"/>
      <c r="J15" s="46"/>
      <c r="K15" s="46"/>
      <c r="L15" s="46"/>
      <c r="M15" s="46"/>
      <c r="N15" s="46"/>
      <c r="O15" s="49"/>
      <c r="P15" s="46"/>
      <c r="Q15" s="46"/>
      <c r="R15" s="46"/>
      <c r="S15" s="46"/>
      <c r="T15" s="46"/>
      <c r="U15" s="49"/>
      <c r="V15" s="49"/>
      <c r="W15" s="46"/>
      <c r="X15" s="46"/>
      <c r="Y15" s="46"/>
      <c r="Z15" s="46"/>
    </row>
    <row r="16" spans="1:49" ht="15.75" thickBot="1" x14ac:dyDescent="0.3">
      <c r="B16" s="58">
        <f>AVERAGE(B11:B14)</f>
        <v>11865402.914238181</v>
      </c>
      <c r="C16" s="59">
        <f t="shared" ref="C16:E16" si="14">AVERAGE(C11:C14)</f>
        <v>16131396.396760534</v>
      </c>
      <c r="D16" s="59">
        <f t="shared" si="14"/>
        <v>0</v>
      </c>
      <c r="E16" s="60">
        <f t="shared" si="14"/>
        <v>0</v>
      </c>
      <c r="F16" s="46"/>
      <c r="G16" s="61">
        <f>AVERAGE(G11:G14)</f>
        <v>27996799.310998715</v>
      </c>
      <c r="H16" s="46"/>
      <c r="I16" s="46"/>
      <c r="J16" s="46"/>
      <c r="K16" s="46"/>
      <c r="L16" s="46"/>
      <c r="M16" s="46"/>
      <c r="N16" s="46"/>
      <c r="O16" s="61">
        <f>AVERAGE(O11:O14)</f>
        <v>0</v>
      </c>
      <c r="P16" s="46"/>
      <c r="Q16" s="112">
        <f t="shared" ref="Q16:S16" si="15">AVERAGE(Q11:Q14)</f>
        <v>5835932.3945552604</v>
      </c>
      <c r="R16" s="112">
        <f t="shared" si="15"/>
        <v>8791220.4630479049</v>
      </c>
      <c r="S16" s="112">
        <f t="shared" si="15"/>
        <v>0</v>
      </c>
      <c r="T16" s="46"/>
      <c r="U16" s="62">
        <f>AVERAGE(U11:U14)</f>
        <v>14627152.857603166</v>
      </c>
      <c r="V16" s="63"/>
      <c r="W16" s="46"/>
      <c r="X16" s="46"/>
      <c r="Y16" s="46"/>
      <c r="Z16" s="61">
        <f>AVERAGE(Z11:Z14)</f>
        <v>0</v>
      </c>
      <c r="AE16" s="30">
        <f>AVERAGE(AE11:AE14)</f>
        <v>0</v>
      </c>
      <c r="AN16" s="30">
        <f>AVERAGE(AN11:AN14)</f>
        <v>2974824.6994178733</v>
      </c>
      <c r="AO16" s="69"/>
    </row>
    <row r="17" spans="1:48" ht="15.75" thickBot="1" x14ac:dyDescent="0.3">
      <c r="B17" s="46"/>
      <c r="C17" s="46"/>
      <c r="D17" s="46"/>
      <c r="E17" s="46"/>
      <c r="F17" s="46"/>
      <c r="G17" s="64">
        <f>STDEV(G11:G14)</f>
        <v>5296277.8323132591</v>
      </c>
      <c r="H17" s="46"/>
      <c r="I17" s="46"/>
      <c r="J17" s="46"/>
      <c r="K17" s="46"/>
      <c r="L17" s="46"/>
      <c r="M17" s="46"/>
      <c r="N17" s="46"/>
      <c r="O17" s="64">
        <f>STDEV(O11:O14)</f>
        <v>0</v>
      </c>
      <c r="P17" s="46"/>
      <c r="Q17" s="46"/>
      <c r="R17" s="46"/>
      <c r="S17" s="46"/>
      <c r="T17" s="46"/>
      <c r="U17" s="65">
        <f>STDEV(U11:U14)</f>
        <v>3557075.1261358033</v>
      </c>
      <c r="V17" s="63"/>
      <c r="W17" s="46"/>
      <c r="X17" s="46"/>
      <c r="Y17" s="46"/>
      <c r="Z17" s="64">
        <f>STDEV(Z11:Z14)</f>
        <v>0</v>
      </c>
      <c r="AE17" s="31">
        <f>STDEV(AE11:AE14)</f>
        <v>0</v>
      </c>
      <c r="AN17" s="31">
        <f>STDEV(AN11:AN14)</f>
        <v>1087116.0000092261</v>
      </c>
      <c r="AO17" s="69"/>
    </row>
    <row r="18" spans="1:48" ht="15.75" thickBot="1" x14ac:dyDescent="0.3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48" x14ac:dyDescent="0.25">
      <c r="A19" t="s">
        <v>30</v>
      </c>
      <c r="B19" s="43">
        <v>13320096.395019302</v>
      </c>
      <c r="C19" s="44">
        <v>23007439.227760613</v>
      </c>
      <c r="D19" s="44">
        <v>0</v>
      </c>
      <c r="E19" s="45">
        <v>0</v>
      </c>
      <c r="F19" s="46"/>
      <c r="G19" s="47">
        <f>SUM(B19:E19)</f>
        <v>36327535.622779913</v>
      </c>
      <c r="H19" s="46"/>
      <c r="I19" s="46"/>
      <c r="J19" s="43">
        <v>0</v>
      </c>
      <c r="K19" s="44">
        <v>0</v>
      </c>
      <c r="L19" s="44">
        <v>0</v>
      </c>
      <c r="M19" s="45">
        <v>1210917.8540926639</v>
      </c>
      <c r="N19" s="46"/>
      <c r="O19" s="48">
        <f>SUM(J19:M19)</f>
        <v>1210917.8540926639</v>
      </c>
      <c r="P19" s="46"/>
      <c r="Q19" s="104">
        <v>9687342.8327413108</v>
      </c>
      <c r="R19" s="105">
        <v>12109178.540926639</v>
      </c>
      <c r="S19" s="106">
        <v>0</v>
      </c>
      <c r="T19" s="46"/>
      <c r="U19" s="47">
        <f>SUM(Q19:S19)</f>
        <v>21796521.373667948</v>
      </c>
      <c r="V19" s="49"/>
      <c r="W19" s="43">
        <v>0</v>
      </c>
      <c r="X19" s="45">
        <v>0</v>
      </c>
      <c r="Y19" s="46"/>
      <c r="Z19" s="50">
        <f t="shared" ref="Z19:Z22" si="16">SUM(W19:X19)</f>
        <v>0</v>
      </c>
      <c r="AB19" s="113">
        <v>0</v>
      </c>
      <c r="AC19" s="114">
        <v>0</v>
      </c>
      <c r="AE19" s="28">
        <f t="shared" ref="AE19:AE22" si="17">SUM(AB19:AC19)</f>
        <v>0</v>
      </c>
      <c r="AG19" s="113">
        <v>4843671.4163706554</v>
      </c>
      <c r="AH19" s="119">
        <v>3632753.5622826535</v>
      </c>
      <c r="AI19" s="119">
        <v>0</v>
      </c>
      <c r="AJ19" s="119">
        <v>0</v>
      </c>
      <c r="AK19" s="119">
        <v>0</v>
      </c>
      <c r="AL19" s="114">
        <v>0</v>
      </c>
      <c r="AN19" s="27">
        <f>SUM(AG19:AL19)</f>
        <v>8476424.978653308</v>
      </c>
      <c r="AO19" s="19"/>
      <c r="AP19">
        <v>0</v>
      </c>
      <c r="AQ19">
        <v>608122946.32609093</v>
      </c>
      <c r="AR19">
        <v>0</v>
      </c>
      <c r="AS19">
        <v>0</v>
      </c>
      <c r="AT19">
        <v>0</v>
      </c>
      <c r="AU19">
        <v>0</v>
      </c>
      <c r="AV19">
        <v>0</v>
      </c>
    </row>
    <row r="20" spans="1:48" x14ac:dyDescent="0.25">
      <c r="A20" t="s">
        <v>31</v>
      </c>
      <c r="B20" s="51">
        <v>16159562.351012094</v>
      </c>
      <c r="C20" s="49">
        <v>24239343.526494831</v>
      </c>
      <c r="D20" s="49">
        <v>0</v>
      </c>
      <c r="E20" s="52">
        <v>0</v>
      </c>
      <c r="F20" s="46"/>
      <c r="G20" s="50">
        <f t="shared" ref="G20:G22" si="18">SUM(B20:E20)</f>
        <v>40398905.877506927</v>
      </c>
      <c r="H20" s="46"/>
      <c r="I20" s="46"/>
      <c r="J20" s="51">
        <v>0</v>
      </c>
      <c r="K20" s="49">
        <v>0</v>
      </c>
      <c r="L20" s="49">
        <v>0</v>
      </c>
      <c r="M20" s="52">
        <v>0</v>
      </c>
      <c r="N20" s="46"/>
      <c r="O20" s="53">
        <f t="shared" ref="O20:O22" si="19">SUM(J20:M20)</f>
        <v>0</v>
      </c>
      <c r="P20" s="46"/>
      <c r="Q20" s="107">
        <v>5386520.7836551564</v>
      </c>
      <c r="R20" s="42">
        <v>12119671.763247415</v>
      </c>
      <c r="S20" s="108">
        <v>0</v>
      </c>
      <c r="T20" s="46"/>
      <c r="U20" s="50">
        <f t="shared" ref="U20:U22" si="20">SUM(Q20:S20)</f>
        <v>17506192.546902571</v>
      </c>
      <c r="V20" s="49"/>
      <c r="W20" s="51">
        <v>0</v>
      </c>
      <c r="X20" s="52">
        <v>0</v>
      </c>
      <c r="Y20" s="46"/>
      <c r="Z20" s="50">
        <f t="shared" si="16"/>
        <v>0</v>
      </c>
      <c r="AB20" s="115">
        <v>0</v>
      </c>
      <c r="AC20" s="116">
        <v>0</v>
      </c>
      <c r="AE20" s="28">
        <f t="shared" si="17"/>
        <v>0</v>
      </c>
      <c r="AG20" s="115">
        <v>2693260.3918322409</v>
      </c>
      <c r="AH20" s="36">
        <v>6733150.9795922572</v>
      </c>
      <c r="AI20" s="36">
        <v>0</v>
      </c>
      <c r="AJ20" s="36">
        <v>0</v>
      </c>
      <c r="AK20" s="36">
        <v>0</v>
      </c>
      <c r="AL20" s="116">
        <v>0</v>
      </c>
      <c r="AN20" s="28">
        <f t="shared" ref="AN20:AN22" si="21">SUM(AG20:AL20)</f>
        <v>9426411.371424498</v>
      </c>
      <c r="AO20" s="19"/>
      <c r="AP20">
        <v>0</v>
      </c>
      <c r="AQ20">
        <v>741723911.91158092</v>
      </c>
      <c r="AR20">
        <v>0</v>
      </c>
      <c r="AS20">
        <v>0</v>
      </c>
      <c r="AT20">
        <v>0</v>
      </c>
      <c r="AU20">
        <v>0</v>
      </c>
      <c r="AV20">
        <v>0</v>
      </c>
    </row>
    <row r="21" spans="1:48" x14ac:dyDescent="0.25">
      <c r="A21" t="s">
        <v>33</v>
      </c>
      <c r="B21" s="51">
        <v>10237790.256970622</v>
      </c>
      <c r="C21" s="49">
        <v>28153923.206610937</v>
      </c>
      <c r="D21" s="49">
        <v>0</v>
      </c>
      <c r="E21" s="52">
        <v>0</v>
      </c>
      <c r="F21" s="46"/>
      <c r="G21" s="50">
        <f t="shared" si="18"/>
        <v>38391713.463581562</v>
      </c>
      <c r="H21" s="46"/>
      <c r="I21" s="46"/>
      <c r="J21" s="51">
        <v>0</v>
      </c>
      <c r="K21" s="49">
        <v>0</v>
      </c>
      <c r="L21" s="49">
        <v>0</v>
      </c>
      <c r="M21" s="52">
        <v>1279723.7821178311</v>
      </c>
      <c r="N21" s="46"/>
      <c r="O21" s="53">
        <f t="shared" si="19"/>
        <v>1279723.7821178311</v>
      </c>
      <c r="P21" s="46"/>
      <c r="Q21" s="107">
        <v>2559447.5642403248</v>
      </c>
      <c r="R21" s="42">
        <v>3839171.3463581558</v>
      </c>
      <c r="S21" s="108">
        <v>0</v>
      </c>
      <c r="T21" s="46"/>
      <c r="U21" s="50">
        <f t="shared" si="20"/>
        <v>6398618.9105984811</v>
      </c>
      <c r="V21" s="49"/>
      <c r="W21" s="51">
        <v>0</v>
      </c>
      <c r="X21" s="52">
        <v>0</v>
      </c>
      <c r="Y21" s="46"/>
      <c r="Z21" s="50">
        <f t="shared" si="16"/>
        <v>0</v>
      </c>
      <c r="AB21" s="115">
        <v>0</v>
      </c>
      <c r="AC21" s="116">
        <v>0</v>
      </c>
      <c r="AE21" s="28">
        <f t="shared" si="17"/>
        <v>0</v>
      </c>
      <c r="AG21" s="115">
        <v>7678342.6927163117</v>
      </c>
      <c r="AH21" s="36">
        <v>15356685.385432623</v>
      </c>
      <c r="AI21" s="36">
        <v>0</v>
      </c>
      <c r="AJ21" s="36">
        <v>0</v>
      </c>
      <c r="AK21" s="36">
        <v>0</v>
      </c>
      <c r="AL21" s="116">
        <v>1279723.7821178311</v>
      </c>
      <c r="AN21" s="28">
        <f t="shared" si="21"/>
        <v>24314751.860266767</v>
      </c>
      <c r="AO21" s="19"/>
      <c r="AP21">
        <v>0</v>
      </c>
      <c r="AQ21">
        <v>362801692.23097157</v>
      </c>
      <c r="AR21">
        <v>0</v>
      </c>
      <c r="AS21">
        <v>0</v>
      </c>
      <c r="AT21">
        <v>0</v>
      </c>
      <c r="AU21">
        <v>0</v>
      </c>
      <c r="AV21">
        <v>0</v>
      </c>
    </row>
    <row r="22" spans="1:48" ht="15.75" thickBot="1" x14ac:dyDescent="0.3">
      <c r="A22" t="s">
        <v>34</v>
      </c>
      <c r="B22" s="54">
        <v>19506417.314901132</v>
      </c>
      <c r="C22" s="55">
        <v>13004278.209934089</v>
      </c>
      <c r="D22" s="55">
        <v>0</v>
      </c>
      <c r="E22" s="56">
        <v>0</v>
      </c>
      <c r="F22" s="46"/>
      <c r="G22" s="57">
        <f t="shared" si="18"/>
        <v>32510695.524835221</v>
      </c>
      <c r="H22" s="46"/>
      <c r="I22" s="46"/>
      <c r="J22" s="54">
        <v>2167379.7016556817</v>
      </c>
      <c r="K22" s="55">
        <v>0</v>
      </c>
      <c r="L22" s="55">
        <v>0</v>
      </c>
      <c r="M22" s="56">
        <v>0</v>
      </c>
      <c r="N22" s="46"/>
      <c r="O22" s="66">
        <f t="shared" si="19"/>
        <v>2167379.7016556817</v>
      </c>
      <c r="P22" s="46"/>
      <c r="Q22" s="109">
        <v>0</v>
      </c>
      <c r="R22" s="110">
        <v>6502139.1049670447</v>
      </c>
      <c r="S22" s="111">
        <v>0</v>
      </c>
      <c r="T22" s="46"/>
      <c r="U22" s="57">
        <f t="shared" si="20"/>
        <v>6502139.1049670447</v>
      </c>
      <c r="V22" s="49"/>
      <c r="W22" s="54">
        <v>0</v>
      </c>
      <c r="X22" s="56">
        <v>0</v>
      </c>
      <c r="Y22" s="46"/>
      <c r="Z22" s="57">
        <f t="shared" si="16"/>
        <v>0</v>
      </c>
      <c r="AB22" s="117">
        <v>0</v>
      </c>
      <c r="AC22" s="118">
        <v>0</v>
      </c>
      <c r="AE22" s="29">
        <f t="shared" si="17"/>
        <v>0</v>
      </c>
      <c r="AG22" s="117">
        <v>6502139.1049670447</v>
      </c>
      <c r="AH22" s="120">
        <v>23841176.7182125</v>
      </c>
      <c r="AI22" s="120">
        <v>0</v>
      </c>
      <c r="AJ22" s="120">
        <v>0</v>
      </c>
      <c r="AK22" s="120">
        <v>0</v>
      </c>
      <c r="AL22" s="118">
        <v>2167379.7016556817</v>
      </c>
      <c r="AN22" s="29">
        <f t="shared" si="21"/>
        <v>32510695.524835225</v>
      </c>
      <c r="AO22" s="19"/>
      <c r="AP22">
        <v>0</v>
      </c>
      <c r="AQ22">
        <v>614452145.42127383</v>
      </c>
      <c r="AR22">
        <v>0</v>
      </c>
      <c r="AS22">
        <v>0</v>
      </c>
      <c r="AT22">
        <v>0</v>
      </c>
      <c r="AU22">
        <v>0</v>
      </c>
      <c r="AV22">
        <v>0</v>
      </c>
    </row>
    <row r="23" spans="1:48" ht="15.75" thickBot="1" x14ac:dyDescent="0.3">
      <c r="B23" s="46"/>
      <c r="C23" s="46"/>
      <c r="D23" s="46"/>
      <c r="E23" s="46"/>
      <c r="F23" s="46"/>
      <c r="G23" s="49"/>
      <c r="H23" s="46"/>
      <c r="I23" s="46"/>
      <c r="J23" s="46"/>
      <c r="K23" s="46"/>
      <c r="L23" s="46"/>
      <c r="M23" s="46"/>
      <c r="N23" s="46"/>
      <c r="O23" s="49"/>
      <c r="P23" s="46"/>
      <c r="Q23" s="46"/>
      <c r="R23" s="46"/>
      <c r="S23" s="46"/>
      <c r="T23" s="46"/>
      <c r="U23" s="49"/>
      <c r="V23" s="49"/>
      <c r="W23" s="46"/>
      <c r="X23" s="46"/>
      <c r="Y23" s="46"/>
      <c r="Z23" s="46"/>
    </row>
    <row r="24" spans="1:48" ht="15.75" thickBot="1" x14ac:dyDescent="0.3">
      <c r="B24" s="58">
        <f>AVERAGE(B19:B22)</f>
        <v>14805966.579475787</v>
      </c>
      <c r="C24" s="59">
        <f t="shared" ref="C24:E24" si="22">AVERAGE(C19:C22)</f>
        <v>22101246.042700116</v>
      </c>
      <c r="D24" s="59">
        <f t="shared" si="22"/>
        <v>0</v>
      </c>
      <c r="E24" s="60">
        <f t="shared" si="22"/>
        <v>0</v>
      </c>
      <c r="F24" s="46"/>
      <c r="G24" s="61">
        <f>AVERAGE(G19:G22)</f>
        <v>36907212.62217591</v>
      </c>
      <c r="H24" s="46"/>
      <c r="I24" s="46"/>
      <c r="J24" s="46"/>
      <c r="K24" s="46"/>
      <c r="L24" s="46"/>
      <c r="M24" s="46"/>
      <c r="N24" s="46"/>
      <c r="O24" s="61">
        <f>AVERAGE(O19,O21:O22)</f>
        <v>1552673.7792887252</v>
      </c>
      <c r="P24" s="46"/>
      <c r="Q24" s="112">
        <f t="shared" ref="Q24:S24" si="23">AVERAGE(Q19:Q22)</f>
        <v>4408327.7951591983</v>
      </c>
      <c r="R24" s="112">
        <f t="shared" si="23"/>
        <v>8642540.1888748128</v>
      </c>
      <c r="S24" s="112">
        <f t="shared" si="23"/>
        <v>0</v>
      </c>
      <c r="T24" s="46"/>
      <c r="U24" s="62">
        <f>AVERAGE(U19:U22)</f>
        <v>13050867.984034011</v>
      </c>
      <c r="V24" s="63"/>
      <c r="W24" s="46"/>
      <c r="X24" s="46"/>
      <c r="Y24" s="46"/>
      <c r="Z24" s="61">
        <f>AVERAGE(Z19:Z22)</f>
        <v>0</v>
      </c>
      <c r="AE24" s="30">
        <f>AVERAGE(AE19:AE22)</f>
        <v>0</v>
      </c>
      <c r="AN24" s="30">
        <f>AVERAGE(AN19:AN22)</f>
        <v>18682070.933794949</v>
      </c>
      <c r="AO24" s="69"/>
    </row>
    <row r="25" spans="1:48" ht="15.75" thickBot="1" x14ac:dyDescent="0.3">
      <c r="B25" s="46"/>
      <c r="C25" s="46"/>
      <c r="D25" s="46"/>
      <c r="E25" s="46"/>
      <c r="F25" s="46"/>
      <c r="G25" s="64">
        <f>STDEV(G19:G22)</f>
        <v>3369522.8420008244</v>
      </c>
      <c r="H25" s="46"/>
      <c r="I25" s="46"/>
      <c r="J25" s="46"/>
      <c r="K25" s="46"/>
      <c r="L25" s="46"/>
      <c r="M25" s="46"/>
      <c r="N25" s="46"/>
      <c r="O25" s="64">
        <f>STDEV(O21:O22,O19)</f>
        <v>533461.42520111834</v>
      </c>
      <c r="P25" s="46"/>
      <c r="Q25" s="46"/>
      <c r="R25" s="46"/>
      <c r="S25" s="46"/>
      <c r="T25" s="46"/>
      <c r="U25" s="65">
        <f>STDEV(U19:U22)</f>
        <v>7820371.6416093893</v>
      </c>
      <c r="V25" s="63"/>
      <c r="W25" s="46"/>
      <c r="X25" s="46"/>
      <c r="Y25" s="46"/>
      <c r="Z25" s="64">
        <f>STDEV(Z19:Z22)</f>
        <v>0</v>
      </c>
      <c r="AE25" s="31">
        <f>STDEV(AE19:AE22)</f>
        <v>0</v>
      </c>
      <c r="AN25" s="31">
        <f>STDEV(AN19:AN22)</f>
        <v>11730024.094825519</v>
      </c>
      <c r="AO25" s="69"/>
    </row>
    <row r="26" spans="1:48" ht="15.75" thickBot="1" x14ac:dyDescent="0.3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48" x14ac:dyDescent="0.25">
      <c r="A27" t="s">
        <v>32</v>
      </c>
      <c r="B27" s="43">
        <v>7426465.1724368883</v>
      </c>
      <c r="C27" s="44">
        <v>9076790.7663130835</v>
      </c>
      <c r="D27" s="44">
        <v>0</v>
      </c>
      <c r="E27" s="45">
        <v>0</v>
      </c>
      <c r="F27" s="46"/>
      <c r="G27" s="47">
        <f>SUM(B27:E27)</f>
        <v>16503255.938749973</v>
      </c>
      <c r="H27" s="46"/>
      <c r="I27" s="46"/>
      <c r="J27" s="43">
        <v>0</v>
      </c>
      <c r="K27" s="44">
        <v>0</v>
      </c>
      <c r="L27" s="44">
        <v>0</v>
      </c>
      <c r="M27" s="45">
        <v>0</v>
      </c>
      <c r="N27" s="46"/>
      <c r="O27" s="47">
        <f>SUM(J27:M27)</f>
        <v>0</v>
      </c>
      <c r="P27" s="46"/>
      <c r="Q27" s="104">
        <v>4950976.7816166114</v>
      </c>
      <c r="R27" s="105">
        <v>2750542.6564603234</v>
      </c>
      <c r="S27" s="106">
        <v>0</v>
      </c>
      <c r="T27" s="46"/>
      <c r="U27" s="47">
        <f>SUM(Q27:S27)</f>
        <v>7701519.4380769348</v>
      </c>
      <c r="V27" s="49"/>
      <c r="W27" s="43">
        <v>0</v>
      </c>
      <c r="X27" s="45">
        <v>0</v>
      </c>
      <c r="Y27" s="46"/>
      <c r="Z27" s="50">
        <f t="shared" ref="Z27:Z30" si="24">SUM(W27:X27)</f>
        <v>0</v>
      </c>
      <c r="AB27" s="113">
        <v>0</v>
      </c>
      <c r="AC27" s="114">
        <v>0</v>
      </c>
      <c r="AE27" s="28">
        <f t="shared" ref="AE27:AE30" si="25">SUM(AB27:AC27)</f>
        <v>0</v>
      </c>
      <c r="AG27" s="113">
        <v>825162.79693690001</v>
      </c>
      <c r="AH27" s="119">
        <v>550108.5312908676</v>
      </c>
      <c r="AI27" s="119">
        <v>0</v>
      </c>
      <c r="AJ27" s="119">
        <v>0</v>
      </c>
      <c r="AK27" s="119">
        <v>0</v>
      </c>
      <c r="AL27" s="114">
        <v>275054.26564603235</v>
      </c>
      <c r="AN27" s="27">
        <f>SUM(AG27:AL27)</f>
        <v>1650325.5938738</v>
      </c>
      <c r="AO27" s="19"/>
      <c r="AP27">
        <v>0</v>
      </c>
      <c r="AQ27">
        <v>71294065.655354619</v>
      </c>
      <c r="AR27">
        <v>0</v>
      </c>
      <c r="AS27">
        <v>0</v>
      </c>
      <c r="AT27">
        <v>0</v>
      </c>
      <c r="AU27">
        <v>0</v>
      </c>
      <c r="AV27">
        <v>0</v>
      </c>
    </row>
    <row r="28" spans="1:48" x14ac:dyDescent="0.25">
      <c r="A28" t="s">
        <v>35</v>
      </c>
      <c r="B28" s="51">
        <v>1374323.9541820188</v>
      </c>
      <c r="C28" s="49">
        <v>6413511.7861707835</v>
      </c>
      <c r="D28" s="49">
        <v>0</v>
      </c>
      <c r="E28" s="52">
        <v>0</v>
      </c>
      <c r="F28" s="46"/>
      <c r="G28" s="50">
        <f t="shared" ref="G28:G30" si="26">SUM(B28:E28)</f>
        <v>7787835.740352802</v>
      </c>
      <c r="H28" s="46"/>
      <c r="I28" s="46"/>
      <c r="J28" s="51">
        <v>0</v>
      </c>
      <c r="K28" s="49">
        <v>0</v>
      </c>
      <c r="L28" s="49">
        <v>0</v>
      </c>
      <c r="M28" s="52">
        <v>0</v>
      </c>
      <c r="N28" s="46"/>
      <c r="O28" s="50">
        <f t="shared" ref="O28:O30" si="27">SUM(J28:M28)</f>
        <v>0</v>
      </c>
      <c r="P28" s="46"/>
      <c r="Q28" s="107">
        <v>1832431.9389093583</v>
      </c>
      <c r="R28" s="42">
        <v>916215.96945228497</v>
      </c>
      <c r="S28" s="108">
        <v>0</v>
      </c>
      <c r="T28" s="46"/>
      <c r="U28" s="50">
        <f t="shared" ref="U28:U30" si="28">SUM(Q28:S28)</f>
        <v>2748647.9083616436</v>
      </c>
      <c r="V28" s="49"/>
      <c r="W28" s="51">
        <v>0</v>
      </c>
      <c r="X28" s="52">
        <v>0</v>
      </c>
      <c r="Y28" s="46"/>
      <c r="Z28" s="50">
        <f t="shared" si="24"/>
        <v>0</v>
      </c>
      <c r="AB28" s="115">
        <v>0</v>
      </c>
      <c r="AC28" s="116">
        <v>0</v>
      </c>
      <c r="AE28" s="28">
        <f t="shared" si="25"/>
        <v>0</v>
      </c>
      <c r="AG28" s="115">
        <v>916215.96945228497</v>
      </c>
      <c r="AH28" s="36">
        <v>3664863.8778067464</v>
      </c>
      <c r="AI28" s="36">
        <v>0</v>
      </c>
      <c r="AJ28" s="36">
        <v>0</v>
      </c>
      <c r="AK28" s="36">
        <v>0</v>
      </c>
      <c r="AL28" s="116">
        <v>0</v>
      </c>
      <c r="AN28" s="28">
        <f t="shared" ref="AN28:AN29" si="29">SUM(AG28:AL28)</f>
        <v>4581079.8472590316</v>
      </c>
      <c r="AO28" s="19"/>
      <c r="AP28">
        <v>0</v>
      </c>
      <c r="AQ28">
        <v>103898890.93596669</v>
      </c>
      <c r="AR28">
        <v>0</v>
      </c>
      <c r="AS28">
        <v>0</v>
      </c>
      <c r="AT28">
        <v>0</v>
      </c>
      <c r="AU28">
        <v>0</v>
      </c>
      <c r="AV28">
        <v>0</v>
      </c>
    </row>
    <row r="29" spans="1:48" x14ac:dyDescent="0.25">
      <c r="A29" t="s">
        <v>36</v>
      </c>
      <c r="B29" s="51">
        <v>3885692.5594276856</v>
      </c>
      <c r="C29" s="49">
        <v>5585683.0541847786</v>
      </c>
      <c r="D29" s="49">
        <v>0</v>
      </c>
      <c r="E29" s="52">
        <v>0</v>
      </c>
      <c r="F29" s="46"/>
      <c r="G29" s="50">
        <f t="shared" si="26"/>
        <v>9471375.6136124637</v>
      </c>
      <c r="H29" s="46"/>
      <c r="I29" s="46"/>
      <c r="J29" s="51">
        <v>0</v>
      </c>
      <c r="K29" s="49">
        <v>0</v>
      </c>
      <c r="L29" s="49">
        <v>0</v>
      </c>
      <c r="M29" s="52">
        <v>0</v>
      </c>
      <c r="N29" s="46"/>
      <c r="O29" s="50">
        <f t="shared" si="27"/>
        <v>0</v>
      </c>
      <c r="P29" s="46"/>
      <c r="Q29" s="107">
        <v>485711.56992905919</v>
      </c>
      <c r="R29" s="42">
        <v>1214278.9248196555</v>
      </c>
      <c r="S29" s="108">
        <v>0</v>
      </c>
      <c r="T29" s="46"/>
      <c r="U29" s="50">
        <f t="shared" si="28"/>
        <v>1699990.4947487146</v>
      </c>
      <c r="V29" s="49"/>
      <c r="W29" s="51">
        <v>0</v>
      </c>
      <c r="X29" s="52">
        <v>0</v>
      </c>
      <c r="Y29" s="46"/>
      <c r="Z29" s="50">
        <f t="shared" si="24"/>
        <v>0</v>
      </c>
      <c r="AB29" s="115">
        <v>0</v>
      </c>
      <c r="AC29" s="116">
        <v>0</v>
      </c>
      <c r="AE29" s="28">
        <f t="shared" si="25"/>
        <v>0</v>
      </c>
      <c r="AG29" s="115">
        <v>2185702.0646825619</v>
      </c>
      <c r="AH29" s="36">
        <v>4614259.9143218724</v>
      </c>
      <c r="AI29" s="36">
        <v>0</v>
      </c>
      <c r="AJ29" s="36">
        <v>0</v>
      </c>
      <c r="AK29" s="36">
        <v>0</v>
      </c>
      <c r="AL29" s="116">
        <v>728567.3548929902</v>
      </c>
      <c r="AN29" s="28">
        <f t="shared" si="29"/>
        <v>7528529.3338974249</v>
      </c>
      <c r="AO29" s="19"/>
      <c r="AP29">
        <v>0</v>
      </c>
      <c r="AQ29">
        <v>64915351.320975117</v>
      </c>
      <c r="AR29">
        <v>0</v>
      </c>
      <c r="AS29">
        <v>0</v>
      </c>
      <c r="AT29">
        <v>0</v>
      </c>
      <c r="AU29">
        <v>0</v>
      </c>
      <c r="AV29">
        <v>0</v>
      </c>
    </row>
    <row r="30" spans="1:48" ht="15.75" thickBot="1" x14ac:dyDescent="0.3">
      <c r="B30" s="54">
        <v>0</v>
      </c>
      <c r="C30" s="55">
        <v>0</v>
      </c>
      <c r="D30" s="55">
        <v>0</v>
      </c>
      <c r="E30" s="56">
        <v>0</v>
      </c>
      <c r="F30" s="46"/>
      <c r="G30" s="57">
        <f t="shared" si="26"/>
        <v>0</v>
      </c>
      <c r="H30" s="46"/>
      <c r="I30" s="46"/>
      <c r="J30" s="54"/>
      <c r="K30" s="55"/>
      <c r="L30" s="55"/>
      <c r="M30" s="56"/>
      <c r="N30" s="46"/>
      <c r="O30" s="57">
        <f t="shared" si="27"/>
        <v>0</v>
      </c>
      <c r="P30" s="46"/>
      <c r="Q30" s="109">
        <v>0</v>
      </c>
      <c r="R30" s="110">
        <v>0</v>
      </c>
      <c r="S30" s="111">
        <v>0</v>
      </c>
      <c r="T30" s="46"/>
      <c r="U30" s="57">
        <f t="shared" si="28"/>
        <v>0</v>
      </c>
      <c r="V30" s="49"/>
      <c r="W30" s="54"/>
      <c r="X30" s="56"/>
      <c r="Y30" s="46"/>
      <c r="Z30" s="57">
        <f t="shared" si="24"/>
        <v>0</v>
      </c>
      <c r="AB30" s="117"/>
      <c r="AC30" s="118"/>
      <c r="AE30" s="29">
        <f t="shared" si="25"/>
        <v>0</v>
      </c>
      <c r="AG30" s="117"/>
      <c r="AH30" s="120"/>
      <c r="AI30" s="120"/>
      <c r="AJ30" s="120"/>
      <c r="AK30" s="120"/>
      <c r="AL30" s="118"/>
      <c r="AN30" s="29"/>
      <c r="AO30" s="19"/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</row>
    <row r="31" spans="1:48" ht="15.75" thickBot="1" x14ac:dyDescent="0.3">
      <c r="B31" s="46"/>
      <c r="C31" s="46"/>
      <c r="D31" s="46"/>
      <c r="E31" s="46"/>
      <c r="F31" s="46"/>
      <c r="G31" s="49"/>
      <c r="H31" s="46"/>
      <c r="I31" s="46"/>
      <c r="J31" s="46"/>
      <c r="K31" s="46"/>
      <c r="L31" s="46"/>
      <c r="M31" s="46"/>
      <c r="N31" s="46"/>
      <c r="O31" s="49"/>
      <c r="P31" s="46"/>
      <c r="Q31" s="46"/>
      <c r="R31" s="46"/>
      <c r="S31" s="46"/>
      <c r="T31" s="46"/>
      <c r="U31" s="49"/>
      <c r="V31" s="49"/>
      <c r="W31" s="46"/>
      <c r="X31" s="46"/>
      <c r="Y31" s="46"/>
      <c r="Z31" s="46"/>
    </row>
    <row r="32" spans="1:48" ht="15.75" thickBot="1" x14ac:dyDescent="0.3">
      <c r="B32" s="58">
        <f>AVERAGE(B27:B30)</f>
        <v>3171620.4215116482</v>
      </c>
      <c r="C32" s="59">
        <f t="shared" ref="C32:E32" si="30">AVERAGE(C27:C30)</f>
        <v>5268996.4016671618</v>
      </c>
      <c r="D32" s="59">
        <f t="shared" si="30"/>
        <v>0</v>
      </c>
      <c r="E32" s="60">
        <f t="shared" si="30"/>
        <v>0</v>
      </c>
      <c r="F32" s="46"/>
      <c r="G32" s="61">
        <f>AVERAGE(G27:G29)</f>
        <v>11254155.764238412</v>
      </c>
      <c r="H32" s="46"/>
      <c r="I32" s="46"/>
      <c r="J32" s="46"/>
      <c r="K32" s="46"/>
      <c r="L32" s="46"/>
      <c r="M32" s="46"/>
      <c r="N32" s="46"/>
      <c r="O32" s="61">
        <f>AVERAGE(O27:O30)</f>
        <v>0</v>
      </c>
      <c r="P32" s="46"/>
      <c r="Q32" s="112">
        <f>AVERAGE(Q27:Q29)</f>
        <v>2423040.0968183433</v>
      </c>
      <c r="R32" s="112">
        <f t="shared" ref="R32:S32" si="31">AVERAGE(R27:R29)</f>
        <v>1627012.5169107548</v>
      </c>
      <c r="S32" s="112">
        <f t="shared" si="31"/>
        <v>0</v>
      </c>
      <c r="T32" s="46"/>
      <c r="U32" s="62">
        <f>AVERAGE(U27:U29)</f>
        <v>4050052.6137290983</v>
      </c>
      <c r="V32" s="63"/>
      <c r="W32" s="46"/>
      <c r="X32" s="46"/>
      <c r="Y32" s="46"/>
      <c r="Z32" s="61">
        <f>AVERAGE(Z27:Z30)</f>
        <v>0</v>
      </c>
      <c r="AE32" s="30">
        <f>AVERAGE(AE27:AE30)</f>
        <v>0</v>
      </c>
      <c r="AN32" s="30">
        <f>AVERAGE(AN27:AN30)</f>
        <v>4586644.9250100851</v>
      </c>
      <c r="AO32" s="69"/>
    </row>
    <row r="33" spans="1:41" ht="15.75" thickBot="1" x14ac:dyDescent="0.3">
      <c r="B33" s="46"/>
      <c r="C33" s="46"/>
      <c r="D33" s="46"/>
      <c r="E33" s="46"/>
      <c r="F33" s="46"/>
      <c r="G33" s="64">
        <f>STDEV(G27:G29)</f>
        <v>4623133.7973020868</v>
      </c>
      <c r="H33" s="46"/>
      <c r="I33" s="46"/>
      <c r="J33" s="46"/>
      <c r="K33" s="46"/>
      <c r="L33" s="46"/>
      <c r="M33" s="46"/>
      <c r="N33" s="46"/>
      <c r="O33" s="64">
        <f>STDEV(O27:O30)</f>
        <v>0</v>
      </c>
      <c r="P33" s="46"/>
      <c r="Q33" s="46"/>
      <c r="R33" s="46"/>
      <c r="S33" s="46"/>
      <c r="T33" s="46"/>
      <c r="U33" s="65">
        <f>STDEV(U27:U29)</f>
        <v>3205437.2665466396</v>
      </c>
      <c r="V33" s="63"/>
      <c r="W33" s="46"/>
      <c r="X33" s="46"/>
      <c r="Y33" s="46"/>
      <c r="Z33" s="64">
        <f>STDEV(Z27:Z30)</f>
        <v>0</v>
      </c>
      <c r="AE33" s="31">
        <f>STDEV(AE27:AE30)</f>
        <v>0</v>
      </c>
      <c r="AN33" s="31">
        <f>STDEV(AN27:AN30)</f>
        <v>2939105.821482908</v>
      </c>
      <c r="AO33" s="69"/>
    </row>
    <row r="34" spans="1:41" x14ac:dyDescent="0.2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41" x14ac:dyDescent="0.25">
      <c r="B35" s="67" t="s">
        <v>75</v>
      </c>
      <c r="C35" s="67" t="s">
        <v>76</v>
      </c>
      <c r="D35" s="67" t="s">
        <v>77</v>
      </c>
      <c r="E35" s="67" t="s">
        <v>78</v>
      </c>
      <c r="F35" s="67" t="s">
        <v>79</v>
      </c>
      <c r="G35" s="46" t="s">
        <v>94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41" x14ac:dyDescent="0.25">
      <c r="A36" t="s">
        <v>71</v>
      </c>
      <c r="B36" s="41">
        <f>G8</f>
        <v>112570129.58416055</v>
      </c>
      <c r="C36" s="42">
        <f>O8</f>
        <v>4899872.9517668439</v>
      </c>
      <c r="D36" s="42">
        <f>U8</f>
        <v>23342779.56385944</v>
      </c>
      <c r="E36" s="42" t="s">
        <v>86</v>
      </c>
      <c r="F36" s="42" t="s">
        <v>86</v>
      </c>
      <c r="G36" s="42">
        <f>AN8</f>
        <v>16607666.122544073</v>
      </c>
    </row>
    <row r="37" spans="1:41" x14ac:dyDescent="0.25">
      <c r="B37" s="41">
        <f>G9</f>
        <v>31721571.708797827</v>
      </c>
      <c r="C37" s="42">
        <f>O9</f>
        <v>3234515.4686047561</v>
      </c>
      <c r="D37" s="42">
        <f>U9</f>
        <v>13221657.155320872</v>
      </c>
      <c r="E37" s="42"/>
      <c r="F37" s="42"/>
      <c r="G37" s="42">
        <f>AN9</f>
        <v>12778930.286661854</v>
      </c>
    </row>
    <row r="38" spans="1:41" x14ac:dyDescent="0.25">
      <c r="A38" t="s">
        <v>72</v>
      </c>
      <c r="B38" s="42">
        <f>G16</f>
        <v>27996799.310998715</v>
      </c>
      <c r="C38" s="42">
        <v>1</v>
      </c>
      <c r="D38" s="42">
        <f>U16</f>
        <v>14627152.857603166</v>
      </c>
      <c r="E38" s="42" t="s">
        <v>86</v>
      </c>
      <c r="F38" s="42" t="s">
        <v>86</v>
      </c>
      <c r="G38" s="42">
        <f>AN16</f>
        <v>2974824.6994178733</v>
      </c>
    </row>
    <row r="39" spans="1:41" x14ac:dyDescent="0.25">
      <c r="B39" s="42">
        <f>G17</f>
        <v>5296277.8323132591</v>
      </c>
      <c r="C39" s="42">
        <v>1.1E-4</v>
      </c>
      <c r="D39" s="42">
        <f>U17</f>
        <v>3557075.1261358033</v>
      </c>
      <c r="E39" s="42"/>
      <c r="F39" s="42"/>
      <c r="G39" s="42">
        <f>AN17</f>
        <v>1087116.0000092261</v>
      </c>
    </row>
    <row r="40" spans="1:41" x14ac:dyDescent="0.25">
      <c r="A40" t="s">
        <v>73</v>
      </c>
      <c r="B40" s="42">
        <f>G24</f>
        <v>36907212.62217591</v>
      </c>
      <c r="C40" s="42">
        <f>O24</f>
        <v>1552673.7792887252</v>
      </c>
      <c r="D40" s="42">
        <f>U24</f>
        <v>13050867.984034011</v>
      </c>
      <c r="E40" s="42" t="s">
        <v>86</v>
      </c>
      <c r="F40" s="42" t="s">
        <v>86</v>
      </c>
      <c r="G40" s="42">
        <f>AN24</f>
        <v>18682070.933794949</v>
      </c>
    </row>
    <row r="41" spans="1:41" x14ac:dyDescent="0.25">
      <c r="B41" s="42">
        <f>G25</f>
        <v>3369522.8420008244</v>
      </c>
      <c r="C41" s="42">
        <f>O25</f>
        <v>533461.42520111834</v>
      </c>
      <c r="D41" s="42">
        <f>U25</f>
        <v>7820371.6416093893</v>
      </c>
      <c r="E41" s="42"/>
      <c r="F41" s="42"/>
      <c r="G41" s="42">
        <f>AN25</f>
        <v>11730024.094825519</v>
      </c>
    </row>
    <row r="42" spans="1:41" x14ac:dyDescent="0.25">
      <c r="A42" t="s">
        <v>74</v>
      </c>
      <c r="B42" s="42">
        <f>G32</f>
        <v>11254155.764238412</v>
      </c>
      <c r="C42" s="42">
        <v>1</v>
      </c>
      <c r="D42" s="42">
        <f>U32</f>
        <v>4050052.6137290983</v>
      </c>
      <c r="E42" s="42" t="s">
        <v>86</v>
      </c>
      <c r="F42" s="42" t="s">
        <v>86</v>
      </c>
      <c r="G42" s="42">
        <f>AN32</f>
        <v>4586644.9250100851</v>
      </c>
    </row>
    <row r="43" spans="1:41" x14ac:dyDescent="0.25">
      <c r="B43" s="42">
        <f>G33</f>
        <v>4623133.7973020868</v>
      </c>
      <c r="C43" s="42">
        <v>9.9999999999999995E-7</v>
      </c>
      <c r="D43" s="42">
        <f>U33</f>
        <v>3205437.2665466396</v>
      </c>
      <c r="E43" s="42">
        <v>1</v>
      </c>
      <c r="F43" s="42"/>
      <c r="G43" s="42">
        <f>AN33</f>
        <v>2939105.821482908</v>
      </c>
    </row>
    <row r="47" spans="1:41" x14ac:dyDescent="0.25">
      <c r="B47" t="s">
        <v>71</v>
      </c>
      <c r="D47" t="s">
        <v>72</v>
      </c>
      <c r="F47" t="s">
        <v>73</v>
      </c>
      <c r="H47" t="s">
        <v>74</v>
      </c>
    </row>
    <row r="48" spans="1:41" x14ac:dyDescent="0.25">
      <c r="A48" t="s">
        <v>75</v>
      </c>
      <c r="B48" s="41">
        <v>112570129.58416055</v>
      </c>
      <c r="C48" s="42">
        <v>31721571.708797827</v>
      </c>
      <c r="D48" s="42">
        <v>27996799.310998715</v>
      </c>
      <c r="E48" s="42">
        <v>5296277.8323132591</v>
      </c>
      <c r="F48" s="42">
        <v>36907212.62217591</v>
      </c>
      <c r="G48" s="42">
        <v>3369522.8420008244</v>
      </c>
      <c r="H48" s="41">
        <v>11254155.764238412</v>
      </c>
      <c r="I48" s="42">
        <v>4623133.7973020868</v>
      </c>
      <c r="J48" s="42"/>
      <c r="K48" s="42"/>
      <c r="L48" s="42"/>
      <c r="M48" s="42"/>
    </row>
    <row r="49" spans="1:13" x14ac:dyDescent="0.25">
      <c r="A49" t="s">
        <v>76</v>
      </c>
      <c r="B49" s="41">
        <v>4899872.9517668439</v>
      </c>
      <c r="C49" s="42">
        <v>3234515.4686047561</v>
      </c>
      <c r="D49" s="42">
        <v>1</v>
      </c>
      <c r="E49" s="42">
        <v>1.1E-4</v>
      </c>
      <c r="F49" s="42">
        <v>1552673.7792887252</v>
      </c>
      <c r="G49" s="42">
        <v>533461.42520111834</v>
      </c>
      <c r="H49" s="41">
        <v>1</v>
      </c>
      <c r="I49" s="42">
        <v>9.9999999999999995E-7</v>
      </c>
      <c r="J49" s="42"/>
      <c r="K49" s="42"/>
      <c r="L49" s="42"/>
      <c r="M49" s="42"/>
    </row>
    <row r="50" spans="1:13" x14ac:dyDescent="0.25">
      <c r="A50" t="s">
        <v>77</v>
      </c>
      <c r="B50" s="42">
        <v>23342779.56385944</v>
      </c>
      <c r="C50" s="42">
        <v>13221657.155320872</v>
      </c>
      <c r="D50" s="42">
        <v>14627152.857603166</v>
      </c>
      <c r="E50" s="42">
        <v>3557075.1261358033</v>
      </c>
      <c r="F50" s="42">
        <v>13050867.984034011</v>
      </c>
      <c r="G50" s="42">
        <v>7820371.6416093893</v>
      </c>
      <c r="H50" s="42">
        <v>4050052.6137290983</v>
      </c>
      <c r="I50" s="42">
        <v>3205437.2665466396</v>
      </c>
      <c r="J50" s="42"/>
      <c r="K50" s="42"/>
      <c r="L50" s="42"/>
      <c r="M50" s="42"/>
    </row>
    <row r="51" spans="1:13" x14ac:dyDescent="0.25">
      <c r="A51" t="s">
        <v>78</v>
      </c>
      <c r="B51" s="42" t="s">
        <v>86</v>
      </c>
      <c r="C51" s="42"/>
      <c r="D51" s="42" t="s">
        <v>86</v>
      </c>
      <c r="E51" s="42"/>
      <c r="F51" s="42" t="s">
        <v>86</v>
      </c>
      <c r="G51" s="42"/>
      <c r="H51" s="42" t="s">
        <v>86</v>
      </c>
      <c r="I51" s="42">
        <v>1</v>
      </c>
      <c r="J51" s="42"/>
      <c r="K51" s="42"/>
      <c r="L51" s="42"/>
      <c r="M51" s="42"/>
    </row>
    <row r="52" spans="1:13" x14ac:dyDescent="0.25">
      <c r="A52" t="s">
        <v>79</v>
      </c>
      <c r="B52" s="42" t="s">
        <v>86</v>
      </c>
      <c r="C52" s="42"/>
      <c r="D52" s="42" t="s">
        <v>86</v>
      </c>
      <c r="E52" s="42"/>
      <c r="F52" s="42" t="s">
        <v>86</v>
      </c>
      <c r="G52" s="42"/>
      <c r="H52" s="42" t="s">
        <v>86</v>
      </c>
      <c r="I52" s="42"/>
      <c r="J52" s="42"/>
      <c r="K52" s="42"/>
      <c r="L52" s="42"/>
      <c r="M52" s="42"/>
    </row>
    <row r="53" spans="1:13" x14ac:dyDescent="0.25">
      <c r="A53" t="s">
        <v>94</v>
      </c>
      <c r="B53" s="42">
        <v>16607666.122544073</v>
      </c>
      <c r="C53" s="42">
        <v>12778930.286661854</v>
      </c>
      <c r="D53" s="42">
        <v>2974824.6994178733</v>
      </c>
      <c r="E53" s="42">
        <v>1087116.0000092261</v>
      </c>
      <c r="F53" s="42">
        <v>18682070.933794949</v>
      </c>
      <c r="G53" s="42">
        <v>11730024.094825519</v>
      </c>
      <c r="H53" s="42">
        <v>4586644.9250100851</v>
      </c>
      <c r="I53" s="42">
        <v>2939105.821482908</v>
      </c>
      <c r="J53" s="42"/>
      <c r="K53" s="42"/>
      <c r="L53" s="42"/>
      <c r="M53" s="42"/>
    </row>
    <row r="54" spans="1:13" x14ac:dyDescent="0.25">
      <c r="B54" s="42"/>
      <c r="C54" s="42"/>
      <c r="D54" s="42"/>
      <c r="E54" s="42"/>
      <c r="F54" s="42"/>
      <c r="G54" s="42"/>
    </row>
    <row r="55" spans="1:13" x14ac:dyDescent="0.25">
      <c r="B55" s="42"/>
      <c r="C55" s="42"/>
      <c r="D55" s="42"/>
      <c r="E55" s="42"/>
      <c r="F55" s="42"/>
      <c r="G55" s="42"/>
    </row>
    <row r="71" spans="2:48" x14ac:dyDescent="0.2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</row>
    <row r="72" spans="2:48" x14ac:dyDescent="0.2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</row>
    <row r="73" spans="2:48" x14ac:dyDescent="0.2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</row>
    <row r="74" spans="2:48" x14ac:dyDescent="0.2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</row>
    <row r="75" spans="2:48" x14ac:dyDescent="0.2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</row>
    <row r="76" spans="2:48" x14ac:dyDescent="0.2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</row>
    <row r="77" spans="2:48" x14ac:dyDescent="0.2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</row>
    <row r="78" spans="2:48" x14ac:dyDescent="0.2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</row>
    <row r="79" spans="2:48" x14ac:dyDescent="0.2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</row>
    <row r="80" spans="2:48" x14ac:dyDescent="0.2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</row>
    <row r="81" spans="1:48" x14ac:dyDescent="0.2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</row>
    <row r="82" spans="1:48" x14ac:dyDescent="0.2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</row>
    <row r="83" spans="1:48" x14ac:dyDescent="0.2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</row>
    <row r="84" spans="1:48" x14ac:dyDescent="0.2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</row>
    <row r="85" spans="1:48" x14ac:dyDescent="0.2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</row>
    <row r="86" spans="1:48" x14ac:dyDescent="0.2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</row>
    <row r="87" spans="1:48" x14ac:dyDescent="0.2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</row>
    <row r="88" spans="1:48" x14ac:dyDescent="0.2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</row>
    <row r="89" spans="1:48" x14ac:dyDescent="0.2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</row>
    <row r="90" spans="1:48" x14ac:dyDescent="0.2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</row>
    <row r="91" spans="1:48" x14ac:dyDescent="0.25">
      <c r="A91">
        <f t="shared" ref="A91:A98" si="32">A23</f>
        <v>0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</row>
    <row r="92" spans="1:48" x14ac:dyDescent="0.25">
      <c r="A92">
        <f t="shared" si="32"/>
        <v>0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</row>
    <row r="93" spans="1:48" x14ac:dyDescent="0.25">
      <c r="A93">
        <f t="shared" si="32"/>
        <v>0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</row>
    <row r="94" spans="1:48" x14ac:dyDescent="0.25">
      <c r="A94">
        <f t="shared" si="32"/>
        <v>0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</row>
    <row r="95" spans="1:48" x14ac:dyDescent="0.25">
      <c r="A95" t="str">
        <f t="shared" si="32"/>
        <v>GAC1 BOT a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</row>
    <row r="96" spans="1:48" x14ac:dyDescent="0.25">
      <c r="A96" t="str">
        <f t="shared" si="32"/>
        <v>GAC2 BOT a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</row>
    <row r="97" spans="1:48" x14ac:dyDescent="0.25">
      <c r="A97" t="str">
        <f>A29</f>
        <v>GAC2 BOT b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</row>
    <row r="98" spans="1:48" x14ac:dyDescent="0.25">
      <c r="A98">
        <f t="shared" si="32"/>
        <v>0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</row>
  </sheetData>
  <pageMargins left="0.7" right="0.7" top="0.75" bottom="0.75" header="0.3" footer="0.3"/>
  <pageSetup paperSize="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C25" zoomScale="70" zoomScaleNormal="70" workbookViewId="0">
      <selection activeCell="P34" sqref="P34"/>
    </sheetView>
  </sheetViews>
  <sheetFormatPr defaultRowHeight="15" x14ac:dyDescent="0.25"/>
  <cols>
    <col min="2" max="2" width="17.42578125" bestFit="1" customWidth="1"/>
    <col min="3" max="3" width="12" bestFit="1" customWidth="1"/>
    <col min="4" max="4" width="10.5703125" bestFit="1" customWidth="1"/>
    <col min="7" max="7" width="10.5703125" bestFit="1" customWidth="1"/>
    <col min="8" max="8" width="14.85546875" bestFit="1" customWidth="1"/>
    <col min="9" max="9" width="10.5703125" bestFit="1" customWidth="1"/>
    <col min="10" max="10" width="13.5703125" bestFit="1" customWidth="1"/>
    <col min="12" max="12" width="12" bestFit="1" customWidth="1"/>
    <col min="13" max="13" width="10.5703125" bestFit="1" customWidth="1"/>
    <col min="14" max="14" width="11" bestFit="1" customWidth="1"/>
    <col min="15" max="17" width="12" bestFit="1" customWidth="1"/>
    <col min="18" max="18" width="10.5703125" bestFit="1" customWidth="1"/>
    <col min="19" max="19" width="10.140625" bestFit="1" customWidth="1"/>
    <col min="20" max="21" width="12" bestFit="1" customWidth="1"/>
    <col min="22" max="22" width="11" bestFit="1" customWidth="1"/>
    <col min="23" max="23" width="11.140625" bestFit="1" customWidth="1"/>
    <col min="24" max="24" width="10.5703125" bestFit="1" customWidth="1"/>
    <col min="26" max="26" width="10.140625" bestFit="1" customWidth="1"/>
    <col min="27" max="27" width="11.140625" bestFit="1" customWidth="1"/>
    <col min="28" max="28" width="10.5703125" bestFit="1" customWidth="1"/>
    <col min="30" max="30" width="10.140625" bestFit="1" customWidth="1"/>
  </cols>
  <sheetData>
    <row r="1" spans="1:22" x14ac:dyDescent="0.25">
      <c r="C1" s="71" t="s">
        <v>95</v>
      </c>
    </row>
    <row r="2" spans="1:22" ht="15.75" thickBot="1" x14ac:dyDescent="0.3">
      <c r="C2" s="72" t="s">
        <v>96</v>
      </c>
      <c r="T2" t="s">
        <v>97</v>
      </c>
      <c r="U2" s="73">
        <v>0.28274333882308139</v>
      </c>
      <c r="V2" t="s">
        <v>98</v>
      </c>
    </row>
    <row r="3" spans="1:22" ht="15.75" thickBot="1" x14ac:dyDescent="0.3">
      <c r="A3" s="155" t="s">
        <v>82</v>
      </c>
      <c r="B3" s="74" t="s">
        <v>22</v>
      </c>
      <c r="C3" s="75">
        <v>5023830508.474576</v>
      </c>
      <c r="G3" s="39" t="s">
        <v>99</v>
      </c>
      <c r="H3" s="39" t="s">
        <v>100</v>
      </c>
      <c r="I3" s="39" t="s">
        <v>101</v>
      </c>
      <c r="J3" s="39" t="s">
        <v>102</v>
      </c>
      <c r="O3" t="s">
        <v>103</v>
      </c>
      <c r="P3" t="s">
        <v>103</v>
      </c>
      <c r="R3" t="s">
        <v>104</v>
      </c>
      <c r="S3" t="s">
        <v>104</v>
      </c>
    </row>
    <row r="4" spans="1:22" x14ac:dyDescent="0.25">
      <c r="A4" s="156"/>
      <c r="B4" s="76" t="s">
        <v>23</v>
      </c>
      <c r="C4" s="77">
        <v>5822142857.1428566</v>
      </c>
      <c r="F4" s="78" t="s">
        <v>105</v>
      </c>
      <c r="G4" s="79">
        <v>5023830508.4745798</v>
      </c>
      <c r="H4" s="80">
        <v>5822142857.1428604</v>
      </c>
      <c r="I4" s="80">
        <v>2366100000</v>
      </c>
      <c r="J4" s="81">
        <v>2791066666.6666675</v>
      </c>
      <c r="L4" s="1">
        <f>AVERAGE(G4:J5)</f>
        <v>2497747233.6501179</v>
      </c>
      <c r="M4" s="1">
        <f>STDEV(G4:J5)/8</f>
        <v>243553482.17824191</v>
      </c>
      <c r="N4" s="80"/>
      <c r="O4" s="1">
        <f>L4*15/((27)*U2)</f>
        <v>4907763195.4262161</v>
      </c>
      <c r="P4" s="1">
        <f>M4*15/((27)*U2)</f>
        <v>478552353.03593874</v>
      </c>
      <c r="R4" s="1">
        <f>O4*1000*1000</f>
        <v>4907763195426216</v>
      </c>
      <c r="S4" s="1">
        <f>P4*1000*1000</f>
        <v>478552353035938.75</v>
      </c>
    </row>
    <row r="5" spans="1:22" ht="15.75" thickBot="1" x14ac:dyDescent="0.3">
      <c r="A5" s="156"/>
      <c r="B5" s="76" t="s">
        <v>24</v>
      </c>
      <c r="C5" s="77">
        <v>1004218039.2156863</v>
      </c>
      <c r="F5" s="82" t="s">
        <v>106</v>
      </c>
      <c r="G5" s="83">
        <v>1004218039.2156863</v>
      </c>
      <c r="H5" s="84">
        <v>975626666.66666687</v>
      </c>
      <c r="I5" s="85">
        <v>1027217931.034483</v>
      </c>
      <c r="J5" s="86">
        <v>971775200</v>
      </c>
      <c r="L5" s="1"/>
      <c r="M5" s="1"/>
    </row>
    <row r="6" spans="1:22" ht="15.75" thickBot="1" x14ac:dyDescent="0.3">
      <c r="A6" s="156"/>
      <c r="B6" s="76" t="s">
        <v>25</v>
      </c>
      <c r="C6" s="87">
        <v>975626666.66666687</v>
      </c>
      <c r="U6" s="88"/>
    </row>
    <row r="7" spans="1:22" ht="15.75" thickBot="1" x14ac:dyDescent="0.3">
      <c r="A7" s="156"/>
      <c r="B7" s="76" t="s">
        <v>26</v>
      </c>
      <c r="C7" s="75">
        <v>2366100000</v>
      </c>
      <c r="G7" t="s">
        <v>107</v>
      </c>
      <c r="H7" t="s">
        <v>108</v>
      </c>
      <c r="I7" t="s">
        <v>109</v>
      </c>
      <c r="J7" t="s">
        <v>109</v>
      </c>
    </row>
    <row r="8" spans="1:22" x14ac:dyDescent="0.25">
      <c r="A8" s="156"/>
      <c r="B8" s="76" t="s">
        <v>27</v>
      </c>
      <c r="C8" s="77">
        <v>2791066666.6666675</v>
      </c>
      <c r="F8" s="78" t="s">
        <v>105</v>
      </c>
      <c r="G8" s="79">
        <v>9707077966.1016979</v>
      </c>
      <c r="H8" s="80">
        <v>10164237288.135595</v>
      </c>
      <c r="I8" s="80">
        <v>9373791304.347826</v>
      </c>
      <c r="J8" s="81">
        <v>9968261333.3333359</v>
      </c>
      <c r="L8" s="1">
        <f>AVERAGE(G8:J9)</f>
        <v>6160237046.8648071</v>
      </c>
      <c r="M8" s="1">
        <f>STDEV(G8:J9)/8</f>
        <v>544533230.70247543</v>
      </c>
      <c r="O8" s="1">
        <f>L8*3.6/((27)*U2)</f>
        <v>2904984227.041048</v>
      </c>
      <c r="P8" s="1">
        <f>M8*3.6/((27)*U2)</f>
        <v>256785645.46399525</v>
      </c>
      <c r="R8" s="1">
        <f>O8*1000*1000</f>
        <v>2904984227041048</v>
      </c>
      <c r="S8" s="1">
        <f>P8*1000*1000</f>
        <v>256785645463995.25</v>
      </c>
    </row>
    <row r="9" spans="1:22" ht="15.75" thickBot="1" x14ac:dyDescent="0.3">
      <c r="A9" s="156"/>
      <c r="B9" s="76" t="s">
        <v>28</v>
      </c>
      <c r="C9" s="77">
        <v>1027217931.034483</v>
      </c>
      <c r="F9" s="82" t="s">
        <v>106</v>
      </c>
      <c r="G9" s="83">
        <v>97945466.666666672</v>
      </c>
      <c r="H9" s="84">
        <v>550216.33333333337</v>
      </c>
      <c r="I9" s="85">
        <v>3999146666.6666665</v>
      </c>
      <c r="J9" s="86">
        <v>5970886133.3333349</v>
      </c>
      <c r="L9" s="1"/>
    </row>
    <row r="10" spans="1:22" ht="15.75" thickBot="1" x14ac:dyDescent="0.3">
      <c r="A10" s="157"/>
      <c r="B10" s="89" t="s">
        <v>29</v>
      </c>
      <c r="C10" s="90">
        <v>971775200</v>
      </c>
      <c r="D10" s="1"/>
    </row>
    <row r="11" spans="1:22" x14ac:dyDescent="0.25">
      <c r="A11" s="155" t="s">
        <v>83</v>
      </c>
      <c r="B11" s="74" t="s">
        <v>30</v>
      </c>
      <c r="C11" s="75">
        <v>9707077966.1016979</v>
      </c>
    </row>
    <row r="12" spans="1:22" ht="15.75" thickBot="1" x14ac:dyDescent="0.3">
      <c r="A12" s="156"/>
      <c r="B12" s="76" t="s">
        <v>31</v>
      </c>
      <c r="C12" s="77">
        <v>10164237288.135595</v>
      </c>
      <c r="G12" s="39" t="s">
        <v>42</v>
      </c>
      <c r="H12" s="39" t="s">
        <v>43</v>
      </c>
      <c r="I12" s="39" t="s">
        <v>44</v>
      </c>
      <c r="J12" s="39" t="s">
        <v>45</v>
      </c>
    </row>
    <row r="13" spans="1:22" x14ac:dyDescent="0.25">
      <c r="A13" s="156"/>
      <c r="B13" s="76" t="s">
        <v>32</v>
      </c>
      <c r="C13" s="77">
        <v>97945466.666666672</v>
      </c>
      <c r="F13" s="78" t="s">
        <v>105</v>
      </c>
      <c r="G13" s="79">
        <f>AVERAGE(G4:H4)</f>
        <v>5422986682.8087196</v>
      </c>
      <c r="H13" s="80">
        <f>AVERAGE(I4:J4)</f>
        <v>2578583333.333334</v>
      </c>
      <c r="I13" s="80">
        <f>AVERAGE(G8:H8)</f>
        <v>9935657627.1186466</v>
      </c>
      <c r="J13" s="81">
        <f>AVERAGE(I8:J8)</f>
        <v>9671026318.84058</v>
      </c>
    </row>
    <row r="14" spans="1:22" ht="15.75" thickBot="1" x14ac:dyDescent="0.3">
      <c r="A14" s="156"/>
      <c r="B14" s="76" t="s">
        <v>110</v>
      </c>
      <c r="C14" s="87">
        <v>550216.33333333337</v>
      </c>
      <c r="F14" s="82" t="s">
        <v>106</v>
      </c>
      <c r="G14" s="83">
        <f>AVERAGE(G5:H5)</f>
        <v>989922352.94117665</v>
      </c>
      <c r="H14" s="84">
        <f>AVERAGE(I5:J5)</f>
        <v>999496565.51724148</v>
      </c>
      <c r="I14" s="85">
        <f>AVERAGE(G9)</f>
        <v>97945466.666666672</v>
      </c>
      <c r="J14" s="86">
        <f>AVERAGE(I9:J9)</f>
        <v>4985016400.000001</v>
      </c>
    </row>
    <row r="15" spans="1:22" ht="15.75" thickBot="1" x14ac:dyDescent="0.3">
      <c r="A15" s="156"/>
      <c r="B15" s="76" t="s">
        <v>33</v>
      </c>
      <c r="C15" s="75">
        <v>9373791304.347826</v>
      </c>
      <c r="G15" s="1"/>
      <c r="I15" s="1"/>
      <c r="P15" s="153" t="s">
        <v>82</v>
      </c>
      <c r="Q15" s="154"/>
      <c r="T15" s="153" t="s">
        <v>83</v>
      </c>
      <c r="U15" s="154"/>
    </row>
    <row r="16" spans="1:22" x14ac:dyDescent="0.25">
      <c r="A16" s="156"/>
      <c r="B16" s="76" t="s">
        <v>34</v>
      </c>
      <c r="C16" s="77">
        <v>9968261333.3333359</v>
      </c>
      <c r="P16" s="91" t="s">
        <v>111</v>
      </c>
      <c r="Q16" s="92" t="s">
        <v>112</v>
      </c>
      <c r="T16" s="91" t="s">
        <v>111</v>
      </c>
      <c r="U16" s="92" t="s">
        <v>112</v>
      </c>
    </row>
    <row r="17" spans="1:28" ht="15.75" thickBot="1" x14ac:dyDescent="0.3">
      <c r="A17" s="156"/>
      <c r="B17" s="76" t="s">
        <v>35</v>
      </c>
      <c r="C17" s="77">
        <v>3999146666.6666665</v>
      </c>
      <c r="P17" s="93" t="s">
        <v>96</v>
      </c>
      <c r="Q17" s="94" t="s">
        <v>96</v>
      </c>
      <c r="T17" s="93" t="s">
        <v>96</v>
      </c>
      <c r="U17" s="94" t="s">
        <v>96</v>
      </c>
    </row>
    <row r="18" spans="1:28" ht="15.75" thickBot="1" x14ac:dyDescent="0.3">
      <c r="A18" s="157"/>
      <c r="B18" s="89" t="s">
        <v>36</v>
      </c>
      <c r="C18" s="90">
        <v>5970886133.3333349</v>
      </c>
      <c r="O18" s="95" t="s">
        <v>105</v>
      </c>
      <c r="P18" s="70">
        <f>AVERAGE(G4:J4)</f>
        <v>4000785008.0710268</v>
      </c>
      <c r="Q18" s="96">
        <f>STDEV(G4:J4)/SQRT(4)</f>
        <v>841604620.72033417</v>
      </c>
      <c r="T18" s="70">
        <f>AVERAGE(G8:J8)</f>
        <v>9803341972.9796143</v>
      </c>
      <c r="U18" s="96">
        <f>STDEV(G8:J8)/SQRT(4)</f>
        <v>171080965.20439854</v>
      </c>
    </row>
    <row r="19" spans="1:28" ht="15.75" thickBot="1" x14ac:dyDescent="0.3">
      <c r="A19" s="97"/>
      <c r="O19" s="82" t="s">
        <v>106</v>
      </c>
      <c r="P19" s="83">
        <f>AVERAGE(G5:J5)</f>
        <v>994709459.22920907</v>
      </c>
      <c r="Q19" s="86">
        <f>STDEV(G5:J5)/SQRT(4)</f>
        <v>13029924.055966649</v>
      </c>
      <c r="T19" s="83">
        <f>AVERAGE(G9:J9)</f>
        <v>2517132120.7500005</v>
      </c>
      <c r="U19" s="86">
        <f>STDEV(G9:J9)/SQRT(4)</f>
        <v>1480721458.2390909</v>
      </c>
    </row>
    <row r="21" spans="1:28" x14ac:dyDescent="0.25">
      <c r="P21" s="40">
        <f>P19/P18</f>
        <v>0.24862857094858165</v>
      </c>
      <c r="T21" s="40">
        <f>T19/T18</f>
        <v>0.25676265580531887</v>
      </c>
    </row>
    <row r="23" spans="1:28" x14ac:dyDescent="0.25">
      <c r="O23" t="s">
        <v>82</v>
      </c>
      <c r="P23">
        <v>15</v>
      </c>
      <c r="Q23" t="s">
        <v>113</v>
      </c>
    </row>
    <row r="24" spans="1:28" x14ac:dyDescent="0.25">
      <c r="O24" t="s">
        <v>83</v>
      </c>
      <c r="P24">
        <v>3.6</v>
      </c>
      <c r="Q24" t="s">
        <v>113</v>
      </c>
    </row>
    <row r="26" spans="1:28" x14ac:dyDescent="0.25">
      <c r="O26" t="s">
        <v>114</v>
      </c>
      <c r="P26">
        <v>27</v>
      </c>
      <c r="Q26" t="s">
        <v>115</v>
      </c>
    </row>
    <row r="27" spans="1:28" x14ac:dyDescent="0.25">
      <c r="O27" t="s">
        <v>97</v>
      </c>
      <c r="P27">
        <v>0.28000000000000003</v>
      </c>
      <c r="Q27" t="s">
        <v>116</v>
      </c>
    </row>
    <row r="29" spans="1:28" ht="15.75" thickBot="1" x14ac:dyDescent="0.3"/>
    <row r="30" spans="1:28" ht="15.75" thickBot="1" x14ac:dyDescent="0.3">
      <c r="P30" s="153" t="s">
        <v>82</v>
      </c>
      <c r="Q30" s="154"/>
      <c r="T30" s="153" t="s">
        <v>83</v>
      </c>
      <c r="U30" s="154"/>
      <c r="W30" s="153" t="s">
        <v>82</v>
      </c>
      <c r="X30" s="154"/>
      <c r="AA30" s="153" t="s">
        <v>83</v>
      </c>
      <c r="AB30" s="154"/>
    </row>
    <row r="31" spans="1:28" x14ac:dyDescent="0.25">
      <c r="P31" s="91" t="s">
        <v>111</v>
      </c>
      <c r="Q31" s="92" t="s">
        <v>112</v>
      </c>
      <c r="T31" s="91" t="s">
        <v>111</v>
      </c>
      <c r="U31" s="92" t="s">
        <v>112</v>
      </c>
      <c r="W31" s="91" t="s">
        <v>111</v>
      </c>
      <c r="X31" s="92" t="s">
        <v>112</v>
      </c>
      <c r="AA31" s="91" t="s">
        <v>111</v>
      </c>
      <c r="AB31" s="92" t="s">
        <v>112</v>
      </c>
    </row>
    <row r="32" spans="1:28" ht="15.75" thickBot="1" x14ac:dyDescent="0.3">
      <c r="P32" s="93" t="s">
        <v>117</v>
      </c>
      <c r="Q32" s="94" t="s">
        <v>117</v>
      </c>
      <c r="T32" s="93" t="s">
        <v>117</v>
      </c>
      <c r="U32" s="94" t="s">
        <v>117</v>
      </c>
      <c r="W32" s="93" t="s">
        <v>118</v>
      </c>
      <c r="X32" s="94" t="s">
        <v>117</v>
      </c>
      <c r="AA32" s="93" t="s">
        <v>118</v>
      </c>
      <c r="AB32" s="94" t="s">
        <v>117</v>
      </c>
    </row>
    <row r="33" spans="13:28" ht="15.75" thickBot="1" x14ac:dyDescent="0.3">
      <c r="O33" s="95" t="s">
        <v>105</v>
      </c>
      <c r="P33" s="70">
        <f>P18*7.5/((27/2)*P27)</f>
        <v>7938065492.2044172</v>
      </c>
      <c r="Q33" s="96">
        <f>Q18*7.5/(27/2)</f>
        <v>467558122.62240785</v>
      </c>
      <c r="T33" s="70">
        <f>T18*(3.6/2)/((27/2)*P27)</f>
        <v>4668258082.3712454</v>
      </c>
      <c r="U33" s="96">
        <f>U18*(3.6/2)/(27/2)</f>
        <v>22810795.360586472</v>
      </c>
      <c r="W33" s="70">
        <f>P33*1000000</f>
        <v>7938065492204417</v>
      </c>
      <c r="X33" s="96">
        <f>Q33*1000000</f>
        <v>467558122622407.87</v>
      </c>
      <c r="AA33" s="70">
        <f>T33*1000000</f>
        <v>4668258082371245</v>
      </c>
      <c r="AB33" s="96">
        <f>U33*1000000</f>
        <v>22810795360586.473</v>
      </c>
    </row>
    <row r="34" spans="13:28" ht="15.75" thickBot="1" x14ac:dyDescent="0.3">
      <c r="O34" s="82" t="s">
        <v>106</v>
      </c>
      <c r="P34" s="83">
        <f>P19*7.5/((27/2)*P27)</f>
        <v>1973629879.4230337</v>
      </c>
      <c r="Q34" s="86">
        <f>Q19*7.5/(27/2)</f>
        <v>7238846.6977592492</v>
      </c>
      <c r="T34" s="83">
        <f>T19*(3.6/2)/((27/2)*P27)</f>
        <v>1198634343.2142861</v>
      </c>
      <c r="U34" s="86">
        <f>U19*(3.6/2)/(27/2)</f>
        <v>197429527.76521212</v>
      </c>
      <c r="W34" s="83">
        <f>P34*1000000</f>
        <v>1973629879423033.7</v>
      </c>
      <c r="X34" s="86">
        <f>Q34*1000000</f>
        <v>7238846697759.249</v>
      </c>
      <c r="AA34" s="83">
        <f>T34*1000000</f>
        <v>1198634343214286</v>
      </c>
      <c r="AB34" s="86">
        <f>U34*1000000</f>
        <v>197429527765212.12</v>
      </c>
    </row>
    <row r="36" spans="13:28" ht="15.75" thickBot="1" x14ac:dyDescent="0.3">
      <c r="R36" s="88">
        <f>P34/P33</f>
        <v>0.24862857094858165</v>
      </c>
    </row>
    <row r="37" spans="13:28" ht="15.75" thickBot="1" x14ac:dyDescent="0.3">
      <c r="P37" s="153" t="s">
        <v>82</v>
      </c>
      <c r="Q37" s="154"/>
      <c r="T37" s="153" t="s">
        <v>82</v>
      </c>
      <c r="U37" s="154"/>
    </row>
    <row r="38" spans="13:28" x14ac:dyDescent="0.25">
      <c r="P38" s="91" t="s">
        <v>111</v>
      </c>
      <c r="Q38" s="92" t="s">
        <v>112</v>
      </c>
      <c r="T38" s="91" t="s">
        <v>111</v>
      </c>
      <c r="U38" s="92" t="s">
        <v>112</v>
      </c>
    </row>
    <row r="39" spans="13:28" ht="15.75" thickBot="1" x14ac:dyDescent="0.3">
      <c r="P39" s="93" t="s">
        <v>119</v>
      </c>
      <c r="Q39" s="94" t="s">
        <v>119</v>
      </c>
      <c r="R39" s="71"/>
      <c r="S39" s="71"/>
      <c r="T39" s="93" t="s">
        <v>119</v>
      </c>
      <c r="U39" s="94" t="s">
        <v>119</v>
      </c>
    </row>
    <row r="40" spans="13:28" ht="15.75" thickBot="1" x14ac:dyDescent="0.3">
      <c r="M40" s="98"/>
      <c r="N40" s="99"/>
      <c r="O40" s="95" t="s">
        <v>105</v>
      </c>
      <c r="P40" s="70">
        <f>P18*$P$23/2</f>
        <v>30005887560.5327</v>
      </c>
      <c r="Q40" s="96">
        <f>Q18*$P$23/2</f>
        <v>6312034655.4025059</v>
      </c>
      <c r="T40" s="70">
        <f>T18*($P$24/2)</f>
        <v>17646015551.363308</v>
      </c>
      <c r="U40" s="96">
        <f>U18*($P$24/2)</f>
        <v>307945737.36791736</v>
      </c>
    </row>
    <row r="41" spans="13:28" ht="15.75" thickBot="1" x14ac:dyDescent="0.3">
      <c r="M41" s="98"/>
      <c r="N41" s="99"/>
      <c r="O41" s="82" t="s">
        <v>106</v>
      </c>
      <c r="P41" s="83">
        <f>P19*$P$23/2</f>
        <v>7460320944.2190676</v>
      </c>
      <c r="Q41" s="86">
        <f>Q19*$P$23/2</f>
        <v>97724430.419749871</v>
      </c>
      <c r="T41" s="83">
        <f>T19*($P$24/2)</f>
        <v>4530837817.3500013</v>
      </c>
      <c r="U41" s="86">
        <f>U19*($P$24/2)</f>
        <v>2665298624.8303638</v>
      </c>
    </row>
    <row r="42" spans="13:28" ht="15.75" thickBot="1" x14ac:dyDescent="0.3">
      <c r="M42" s="98"/>
      <c r="N42" s="99"/>
      <c r="P42" s="39"/>
      <c r="Q42" s="39"/>
      <c r="R42" s="39"/>
      <c r="S42" s="39"/>
      <c r="T42" s="39"/>
      <c r="U42" s="39"/>
    </row>
    <row r="43" spans="13:28" ht="15.75" thickBot="1" x14ac:dyDescent="0.3">
      <c r="M43" s="98"/>
      <c r="N43" s="99"/>
      <c r="O43" s="99"/>
      <c r="P43" s="100">
        <f>SUM(P40:P41)</f>
        <v>37466208504.75177</v>
      </c>
      <c r="Q43" s="101">
        <f>SUM(Q40:Q41)</f>
        <v>6409759085.8222561</v>
      </c>
      <c r="R43" s="39"/>
      <c r="S43" s="39"/>
      <c r="T43" s="100">
        <f>SUM(T40:T41)</f>
        <v>22176853368.71331</v>
      </c>
      <c r="U43" s="101">
        <f>SUM(U40:U41)</f>
        <v>2973244362.1982813</v>
      </c>
    </row>
    <row r="44" spans="13:28" x14ac:dyDescent="0.25">
      <c r="M44" s="98"/>
      <c r="N44" s="99"/>
      <c r="O44" s="99"/>
    </row>
    <row r="45" spans="13:28" x14ac:dyDescent="0.25">
      <c r="O45" s="99"/>
    </row>
    <row r="46" spans="13:28" x14ac:dyDescent="0.25">
      <c r="M46" s="1"/>
      <c r="N46" s="1"/>
      <c r="O46" s="99"/>
    </row>
    <row r="48" spans="13:28" x14ac:dyDescent="0.25">
      <c r="O48" s="1"/>
    </row>
  </sheetData>
  <mergeCells count="10">
    <mergeCell ref="W30:X30"/>
    <mergeCell ref="AA30:AB30"/>
    <mergeCell ref="P37:Q37"/>
    <mergeCell ref="T37:U37"/>
    <mergeCell ref="A3:A10"/>
    <mergeCell ref="A11:A18"/>
    <mergeCell ref="P15:Q15"/>
    <mergeCell ref="T15:U15"/>
    <mergeCell ref="P30:Q30"/>
    <mergeCell ref="T30:U3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P39"/>
  <sheetViews>
    <sheetView tabSelected="1" topLeftCell="A10" workbookViewId="0">
      <selection activeCell="C41" sqref="C41"/>
    </sheetView>
  </sheetViews>
  <sheetFormatPr defaultRowHeight="15" x14ac:dyDescent="0.25"/>
  <cols>
    <col min="2" max="3" width="15.42578125" bestFit="1" customWidth="1"/>
    <col min="4" max="4" width="11.140625" bestFit="1" customWidth="1"/>
    <col min="5" max="5" width="11.28515625" bestFit="1" customWidth="1"/>
    <col min="6" max="6" width="10.5703125" bestFit="1" customWidth="1"/>
    <col min="7" max="7" width="18.42578125" bestFit="1" customWidth="1"/>
    <col min="8" max="8" width="15.28515625" bestFit="1" customWidth="1"/>
  </cols>
  <sheetData>
    <row r="18" spans="2:16" x14ac:dyDescent="0.25">
      <c r="K18" t="s">
        <v>122</v>
      </c>
      <c r="L18" s="152">
        <v>2.6761300000000001E-6</v>
      </c>
    </row>
    <row r="19" spans="2:16" ht="18" x14ac:dyDescent="0.35">
      <c r="B19" t="s">
        <v>120</v>
      </c>
      <c r="C19">
        <f>0.3</f>
        <v>0.3</v>
      </c>
      <c r="D19" t="s">
        <v>121</v>
      </c>
      <c r="K19" t="s">
        <v>122</v>
      </c>
      <c r="L19" s="1">
        <v>2.5000000000000002E-6</v>
      </c>
      <c r="N19" t="s">
        <v>123</v>
      </c>
      <c r="O19">
        <v>3788201.3529645847</v>
      </c>
      <c r="P19" t="s">
        <v>124</v>
      </c>
    </row>
    <row r="21" spans="2:16" x14ac:dyDescent="0.25">
      <c r="L21" s="88"/>
    </row>
    <row r="22" spans="2:16" x14ac:dyDescent="0.25">
      <c r="C22" s="39" t="str">
        <f>'PathogenTOT WT'!C35</f>
        <v xml:space="preserve">Mycobacterium </v>
      </c>
      <c r="D22" s="39" t="str">
        <f>'PathogenTOT WT'!D35</f>
        <v>Aeromonas</v>
      </c>
      <c r="E22" s="39" t="str">
        <f>'PathogenTOT WT'!E35</f>
        <v>Clostridium</v>
      </c>
      <c r="F22" s="39" t="str">
        <f>'PathogenTOT WT'!F35</f>
        <v xml:space="preserve">Legionella </v>
      </c>
      <c r="G22" s="39" t="str">
        <f>'PathogenTOT WT'!G35</f>
        <v>Enterobacteriaceae</v>
      </c>
      <c r="H22" s="39" t="str">
        <f>'PathogenTOT WT'!H35</f>
        <v xml:space="preserve">Flavobacterium </v>
      </c>
    </row>
    <row r="23" spans="2:16" x14ac:dyDescent="0.25">
      <c r="B23" s="39" t="str">
        <f>'PathogenTOT WT'!B36</f>
        <v>IN</v>
      </c>
      <c r="C23" s="9">
        <f>'PathogenTOT WT'!C36</f>
        <v>102512.22808944373</v>
      </c>
      <c r="D23" s="9">
        <f>'PathogenTOT WT'!D36</f>
        <v>343.38785897422542</v>
      </c>
      <c r="E23" s="9">
        <f>'PathogenTOT WT'!E36</f>
        <v>3159.0676164487218</v>
      </c>
      <c r="F23" s="9">
        <f>'PathogenTOT WT'!F36</f>
        <v>3554.0910931632002</v>
      </c>
      <c r="G23" s="9">
        <f>'PathogenTOT WT'!G36</f>
        <v>1299.5740700892454</v>
      </c>
      <c r="H23" s="9">
        <f>'PathogenTOT WT'!H36</f>
        <v>1062465.495904576</v>
      </c>
      <c r="K23">
        <f>LN(0.5)</f>
        <v>-0.69314718055994529</v>
      </c>
    </row>
    <row r="24" spans="2:16" x14ac:dyDescent="0.25">
      <c r="B24" s="39"/>
      <c r="C24" s="9">
        <f>'PathogenTOT WT'!C37</f>
        <v>6786.2120940317409</v>
      </c>
      <c r="D24" s="9">
        <f>'PathogenTOT WT'!D37</f>
        <v>167.64054705025225</v>
      </c>
      <c r="E24" s="9">
        <f>'PathogenTOT WT'!E37</f>
        <v>327.28380874096086</v>
      </c>
      <c r="F24" s="9">
        <f>'PathogenTOT WT'!F37</f>
        <v>655.54528247852033</v>
      </c>
      <c r="G24" s="9">
        <f>'PathogenTOT WT'!G37</f>
        <v>268.91674567266494</v>
      </c>
      <c r="H24" s="9">
        <f>'PathogenTOT WT'!H37</f>
        <v>24126.260492908976</v>
      </c>
      <c r="J24" s="40"/>
      <c r="K24">
        <f>-K23/D32</f>
        <v>5.7912216969479263E-2</v>
      </c>
      <c r="L24">
        <f>-K23/G32</f>
        <v>8.5408212605168315E-2</v>
      </c>
    </row>
    <row r="25" spans="2:16" x14ac:dyDescent="0.25">
      <c r="B25" s="39" t="str">
        <f>'PathogenTOT WT'!B38</f>
        <v>SAND</v>
      </c>
      <c r="C25" s="9">
        <f>'PathogenTOT WT'!C38</f>
        <v>41495.170837420621</v>
      </c>
      <c r="D25" s="9">
        <f>L19*O19</f>
        <v>9.4705033824114633</v>
      </c>
      <c r="E25" s="9">
        <f>'PathogenTOT WT'!E38</f>
        <v>96.777902252458532</v>
      </c>
      <c r="F25" s="9">
        <f>'PathogenTOT WT'!F38</f>
        <v>8638.2635855914068</v>
      </c>
      <c r="G25" s="9">
        <f>'PathogenTOT WT'!G38</f>
        <v>113.87287916762442</v>
      </c>
      <c r="H25" s="9">
        <f>'PathogenTOT WT'!H38</f>
        <v>8849.4412192714863</v>
      </c>
      <c r="K25">
        <f>K24*60</f>
        <v>3.4747330181687559</v>
      </c>
      <c r="L25">
        <f>L24*60</f>
        <v>5.124492756310099</v>
      </c>
      <c r="M25">
        <f>C19*60</f>
        <v>18</v>
      </c>
    </row>
    <row r="26" spans="2:16" x14ac:dyDescent="0.25">
      <c r="B26" s="39"/>
      <c r="C26" s="9">
        <f>'PathogenTOT WT'!C39</f>
        <v>3598.8996912660364</v>
      </c>
      <c r="D26" s="9">
        <f>'PathogenTOT WT'!D39</f>
        <v>0</v>
      </c>
      <c r="E26" s="9">
        <f>'PathogenTOT WT'!E39</f>
        <v>23.010324414942549</v>
      </c>
      <c r="F26" s="9">
        <f>'PathogenTOT WT'!F39</f>
        <v>524.47411736248182</v>
      </c>
      <c r="G26" s="9">
        <f>'PathogenTOT WT'!G39</f>
        <v>255.57788693635069</v>
      </c>
      <c r="H26" s="9">
        <f>'PathogenTOT WT'!H39</f>
        <v>1010.5094472718214</v>
      </c>
      <c r="J26" s="40"/>
    </row>
    <row r="27" spans="2:16" x14ac:dyDescent="0.25">
      <c r="B27" s="39" t="str">
        <f>'PathogenTOT WT'!B40</f>
        <v>GAC</v>
      </c>
      <c r="C27" s="9">
        <f>'PathogenTOT WT'!C40</f>
        <v>65099.589918610698</v>
      </c>
      <c r="D27" s="9">
        <f>L19*O19</f>
        <v>9.4705033824114633</v>
      </c>
      <c r="E27" s="9">
        <f>'PathogenTOT WT'!E40</f>
        <v>326.65519547997235</v>
      </c>
      <c r="F27" s="9">
        <f>'PathogenTOT WT'!F40</f>
        <v>6424.9612503936205</v>
      </c>
      <c r="G27" s="9">
        <f>'PathogenTOT WT'!G40</f>
        <v>45.597372931202166</v>
      </c>
      <c r="H27" s="9">
        <f>'PathogenTOT WT'!H40</f>
        <v>40155.268684297007</v>
      </c>
    </row>
    <row r="28" spans="2:16" x14ac:dyDescent="0.25">
      <c r="C28" s="9">
        <f>'PathogenTOT WT'!C41</f>
        <v>7403.4777692161533</v>
      </c>
      <c r="D28" s="9">
        <f>'PathogenTOT WT'!D41</f>
        <v>0</v>
      </c>
      <c r="E28" s="9">
        <f>'PathogenTOT WT'!E41</f>
        <v>43.940790042482803</v>
      </c>
      <c r="F28" s="9">
        <f>'PathogenTOT WT'!F41</f>
        <v>461.03408958816726</v>
      </c>
      <c r="G28" s="9">
        <f>'PathogenTOT WT'!G41</f>
        <v>22.329539487159547</v>
      </c>
      <c r="H28" s="9">
        <f>'PathogenTOT WT'!H41</f>
        <v>15427.790240113614</v>
      </c>
    </row>
    <row r="32" spans="2:16" x14ac:dyDescent="0.25">
      <c r="B32" t="s">
        <v>82</v>
      </c>
      <c r="C32" s="149">
        <f>-LN(C25/C23)/$C$19</f>
        <v>3.0146834493141603</v>
      </c>
      <c r="D32" s="150">
        <f>-LN(D25/D23)/$C$19</f>
        <v>11.968928437418409</v>
      </c>
      <c r="E32" s="149">
        <f t="shared" ref="E32:H32" si="0">-LN(E25/E23)/$C$19</f>
        <v>11.618711730835738</v>
      </c>
      <c r="F32" s="149">
        <f t="shared" si="0"/>
        <v>-2.9603407605278349</v>
      </c>
      <c r="G32" s="148">
        <f>-LN(G25/G23)/$C$19</f>
        <v>8.1156970672630706</v>
      </c>
      <c r="H32" s="149">
        <f t="shared" si="0"/>
        <v>15.959977026224664</v>
      </c>
    </row>
    <row r="33" spans="2:8" x14ac:dyDescent="0.25">
      <c r="B33" s="39"/>
      <c r="C33" s="149"/>
      <c r="D33" s="149"/>
      <c r="E33" s="149"/>
      <c r="F33" s="149"/>
      <c r="G33" s="149"/>
      <c r="H33" s="149"/>
    </row>
    <row r="34" spans="2:8" x14ac:dyDescent="0.25">
      <c r="B34" t="s">
        <v>83</v>
      </c>
      <c r="C34" s="149">
        <f>-LN(C27/C23)/$C$19</f>
        <v>1.5135461331839222</v>
      </c>
      <c r="D34" s="150">
        <f t="shared" ref="D34:H34" si="1">-LN(D27/D23)/$C$19</f>
        <v>11.968928437418409</v>
      </c>
      <c r="E34" s="149">
        <f t="shared" si="1"/>
        <v>7.5637567948487119</v>
      </c>
      <c r="F34" s="149">
        <f t="shared" si="1"/>
        <v>-1.973637463753946</v>
      </c>
      <c r="G34" s="148">
        <f>-LN(G27/G23)/$C$19</f>
        <v>11.166472492228829</v>
      </c>
      <c r="H34" s="149">
        <f t="shared" si="1"/>
        <v>10.918645896771228</v>
      </c>
    </row>
    <row r="37" spans="2:8" x14ac:dyDescent="0.25">
      <c r="B37" t="s">
        <v>82</v>
      </c>
      <c r="C37" s="149">
        <f>-LOG10(C25/C23)</f>
        <v>0.39277811601666041</v>
      </c>
      <c r="D37" s="149">
        <f t="shared" ref="D37:H37" si="2">-LOG10(D25/D23)</f>
        <v>1.5594118723997175</v>
      </c>
      <c r="E37" s="149">
        <f t="shared" si="2"/>
        <v>1.5137827174579623</v>
      </c>
      <c r="F37" s="149">
        <f t="shared" si="2"/>
        <v>-0.38569789705515434</v>
      </c>
      <c r="G37" s="149">
        <f>-LOG10(G25/G23)</f>
        <v>1.0573807359332266</v>
      </c>
      <c r="H37" s="11">
        <f t="shared" si="2"/>
        <v>2.0793989861376128</v>
      </c>
    </row>
    <row r="38" spans="2:8" x14ac:dyDescent="0.25">
      <c r="B38" s="39"/>
      <c r="C38" s="149"/>
      <c r="E38" s="149"/>
      <c r="F38" s="149"/>
      <c r="G38" s="149"/>
      <c r="H38" s="11"/>
    </row>
    <row r="39" spans="2:8" x14ac:dyDescent="0.25">
      <c r="B39" t="s">
        <v>83</v>
      </c>
      <c r="C39" s="149">
        <f>-LOG10(C27/C23)</f>
        <v>0.1971974201243345</v>
      </c>
      <c r="D39" s="149">
        <f t="shared" ref="D39:H39" si="3">-LOG10(D27/D23)</f>
        <v>1.5594118723997175</v>
      </c>
      <c r="E39" s="149">
        <f t="shared" si="3"/>
        <v>0.9854693515383065</v>
      </c>
      <c r="F39" s="149">
        <f t="shared" si="3"/>
        <v>-0.25714195793576039</v>
      </c>
      <c r="G39" s="149">
        <f t="shared" si="3"/>
        <v>1.4548612157098297</v>
      </c>
      <c r="H39" s="11">
        <f t="shared" si="3"/>
        <v>1.422572298846998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PathogenRA</vt:lpstr>
      <vt:lpstr>Sheet4</vt:lpstr>
      <vt:lpstr>PathogenTOT WT</vt:lpstr>
      <vt:lpstr>PathogenTOT GRAIN</vt:lpstr>
      <vt:lpstr>TCC_Material</vt:lpstr>
      <vt:lpstr>Log-reduction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Vignola</dc:creator>
  <cp:lastModifiedBy>Marta Vignola (PGR)</cp:lastModifiedBy>
  <dcterms:created xsi:type="dcterms:W3CDTF">2016-05-06T14:27:31Z</dcterms:created>
  <dcterms:modified xsi:type="dcterms:W3CDTF">2017-09-22T14:04:19Z</dcterms:modified>
</cp:coreProperties>
</file>