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alination\my publication\A hybrid Reverse OsmosisAdsorption desalination plant for irrigation and drinking water\data\"/>
    </mc:Choice>
  </mc:AlternateContent>
  <bookViews>
    <workbookView xWindow="0" yWindow="0" windowWidth="24000" windowHeight="9735"/>
  </bookViews>
  <sheets>
    <sheet name="RO-PX-AD" sheetId="7" r:id="rId1"/>
    <sheet name="calculation" sheetId="9" r:id="rId2"/>
  </sheets>
  <calcPr calcId="152511"/>
</workbook>
</file>

<file path=xl/calcChain.xml><?xml version="1.0" encoding="utf-8"?>
<calcChain xmlns="http://schemas.openxmlformats.org/spreadsheetml/2006/main">
  <c r="D7" i="7" l="1"/>
  <c r="H22" i="7" l="1"/>
  <c r="B5" i="7"/>
  <c r="C55" i="7" l="1"/>
  <c r="D55" i="7" s="1"/>
  <c r="C56" i="7"/>
  <c r="D56" i="7" s="1"/>
  <c r="C57" i="7"/>
  <c r="D57" i="7" s="1"/>
  <c r="C58" i="7"/>
  <c r="D58" i="7" s="1"/>
  <c r="C59" i="7"/>
  <c r="D59" i="7" s="1"/>
  <c r="C60" i="7"/>
  <c r="D60" i="7" s="1"/>
  <c r="C61" i="7"/>
  <c r="D61" i="7" s="1"/>
  <c r="C62" i="7"/>
  <c r="D62" i="7" s="1"/>
  <c r="C63" i="7"/>
  <c r="D63" i="7" s="1"/>
  <c r="C64" i="7"/>
  <c r="D64" i="7" s="1"/>
  <c r="G25" i="7" l="1"/>
  <c r="B2" i="7"/>
  <c r="E20" i="7" l="1"/>
  <c r="B22" i="7" s="1"/>
  <c r="C54" i="7" l="1"/>
  <c r="D54" i="7" s="1"/>
  <c r="C53" i="7"/>
  <c r="D53" i="7" s="1"/>
  <c r="C52" i="7"/>
  <c r="D52" i="7" s="1"/>
  <c r="C51" i="7"/>
  <c r="D51" i="7" s="1"/>
  <c r="C50" i="7"/>
  <c r="D50" i="7" s="1"/>
  <c r="C49" i="7"/>
  <c r="D49" i="7" s="1"/>
  <c r="C48" i="7"/>
  <c r="D48" i="7" s="1"/>
  <c r="C47" i="7"/>
  <c r="D47" i="7" s="1"/>
  <c r="C46" i="7"/>
  <c r="D46" i="7" s="1"/>
  <c r="C45" i="7"/>
  <c r="D45" i="7" s="1"/>
  <c r="C44" i="7"/>
  <c r="D44" i="7" s="1"/>
  <c r="C43" i="7"/>
  <c r="D43" i="7" s="1"/>
  <c r="C42" i="7"/>
  <c r="D42" i="7" s="1"/>
  <c r="C41" i="7"/>
  <c r="D41" i="7" s="1"/>
  <c r="C40" i="7"/>
  <c r="D40" i="7" s="1"/>
  <c r="C39" i="7"/>
  <c r="D39" i="7" s="1"/>
  <c r="C38" i="7"/>
  <c r="D38" i="7" s="1"/>
  <c r="C37" i="7"/>
  <c r="D37" i="7" s="1"/>
  <c r="C36" i="7"/>
  <c r="D36" i="7" s="1"/>
  <c r="C35" i="7"/>
  <c r="D35" i="7" s="1"/>
  <c r="C34" i="7"/>
  <c r="D34" i="7" s="1"/>
  <c r="C33" i="7"/>
  <c r="D33" i="7" s="1"/>
  <c r="C32" i="7"/>
  <c r="D32" i="7" s="1"/>
  <c r="C31" i="7"/>
  <c r="D31" i="7" s="1"/>
  <c r="B31" i="7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E30" i="7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C30" i="7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A30" i="7"/>
  <c r="K30" i="7" s="1"/>
  <c r="K29" i="7"/>
  <c r="B29" i="7"/>
  <c r="I49" i="7" l="1"/>
  <c r="I56" i="7"/>
  <c r="I58" i="7"/>
  <c r="I62" i="7"/>
  <c r="I57" i="7"/>
  <c r="I60" i="7"/>
  <c r="I61" i="7"/>
  <c r="I64" i="7"/>
  <c r="I55" i="7"/>
  <c r="I59" i="7"/>
  <c r="I63" i="7"/>
  <c r="D30" i="7"/>
  <c r="A31" i="7"/>
  <c r="I41" i="7"/>
  <c r="I48" i="7"/>
  <c r="I53" i="7"/>
  <c r="I30" i="7"/>
  <c r="I32" i="7"/>
  <c r="I39" i="7"/>
  <c r="I46" i="7"/>
  <c r="I51" i="7"/>
  <c r="I37" i="7"/>
  <c r="I42" i="7"/>
  <c r="I44" i="7"/>
  <c r="I35" i="7"/>
  <c r="F30" i="7"/>
  <c r="I38" i="7"/>
  <c r="I54" i="7"/>
  <c r="I31" i="7"/>
  <c r="I47" i="7"/>
  <c r="I40" i="7"/>
  <c r="I34" i="7"/>
  <c r="I50" i="7"/>
  <c r="J29" i="7"/>
  <c r="L29" i="7" s="1"/>
  <c r="M29" i="7" s="1"/>
  <c r="I43" i="7"/>
  <c r="I36" i="7"/>
  <c r="I52" i="7"/>
  <c r="I45" i="7"/>
  <c r="I33" i="7"/>
  <c r="K31" i="7" l="1"/>
  <c r="A32" i="7"/>
  <c r="J30" i="7"/>
  <c r="F31" i="7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J31" i="7" l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25" i="7"/>
  <c r="K32" i="7"/>
  <c r="A33" i="7"/>
  <c r="B25" i="7"/>
  <c r="H8" i="7" s="1"/>
  <c r="L30" i="7"/>
  <c r="M30" i="7" s="1"/>
  <c r="L32" i="7" l="1"/>
  <c r="L31" i="7"/>
  <c r="J58" i="7"/>
  <c r="A34" i="7"/>
  <c r="K33" i="7"/>
  <c r="L33" i="7" s="1"/>
  <c r="B26" i="7"/>
  <c r="I8" i="7" s="1"/>
  <c r="M31" i="7"/>
  <c r="M32" i="7" s="1"/>
  <c r="J59" i="7" l="1"/>
  <c r="M33" i="7"/>
  <c r="K34" i="7"/>
  <c r="L34" i="7" s="1"/>
  <c r="A35" i="7"/>
  <c r="J60" i="7" l="1"/>
  <c r="A36" i="7"/>
  <c r="K35" i="7"/>
  <c r="L35" i="7" s="1"/>
  <c r="M34" i="7"/>
  <c r="J61" i="7" l="1"/>
  <c r="M35" i="7"/>
  <c r="K36" i="7"/>
  <c r="L36" i="7" s="1"/>
  <c r="A37" i="7"/>
  <c r="J62" i="7" l="1"/>
  <c r="M36" i="7"/>
  <c r="A38" i="7"/>
  <c r="K37" i="7"/>
  <c r="L37" i="7" s="1"/>
  <c r="J63" i="7" l="1"/>
  <c r="M37" i="7"/>
  <c r="A39" i="7"/>
  <c r="K38" i="7"/>
  <c r="L38" i="7" s="1"/>
  <c r="J64" i="7" l="1"/>
  <c r="M38" i="7"/>
  <c r="A40" i="7"/>
  <c r="K39" i="7"/>
  <c r="L39" i="7" s="1"/>
  <c r="M39" i="7" l="1"/>
  <c r="K40" i="7"/>
  <c r="L40" i="7" s="1"/>
  <c r="A41" i="7"/>
  <c r="M40" i="7" l="1"/>
  <c r="K41" i="7"/>
  <c r="L41" i="7" s="1"/>
  <c r="A42" i="7"/>
  <c r="M41" i="7" l="1"/>
  <c r="A43" i="7"/>
  <c r="K42" i="7"/>
  <c r="L42" i="7" s="1"/>
  <c r="M42" i="7" l="1"/>
  <c r="A44" i="7"/>
  <c r="K43" i="7"/>
  <c r="L43" i="7" s="1"/>
  <c r="M43" i="7" l="1"/>
  <c r="A45" i="7"/>
  <c r="K44" i="7"/>
  <c r="L44" i="7" s="1"/>
  <c r="M44" i="7" l="1"/>
  <c r="K45" i="7"/>
  <c r="L45" i="7" s="1"/>
  <c r="A46" i="7"/>
  <c r="A47" i="7" s="1"/>
  <c r="A48" i="7" s="1"/>
  <c r="M45" i="7" l="1"/>
  <c r="K46" i="7"/>
  <c r="L46" i="7" s="1"/>
  <c r="B23" i="7" l="1"/>
  <c r="B24" i="7"/>
  <c r="M46" i="7"/>
  <c r="K47" i="7"/>
  <c r="L47" i="7" s="1"/>
  <c r="M47" i="7" l="1"/>
  <c r="A49" i="7"/>
  <c r="K48" i="7"/>
  <c r="L48" i="7" s="1"/>
  <c r="M48" i="7" l="1"/>
  <c r="A50" i="7"/>
  <c r="K49" i="7"/>
  <c r="L49" i="7" s="1"/>
  <c r="M49" i="7" s="1"/>
  <c r="K50" i="7" l="1"/>
  <c r="L50" i="7" s="1"/>
  <c r="M50" i="7" s="1"/>
  <c r="A51" i="7"/>
  <c r="A52" i="7" l="1"/>
  <c r="K51" i="7"/>
  <c r="L51" i="7" s="1"/>
  <c r="M51" i="7" s="1"/>
  <c r="K52" i="7" l="1"/>
  <c r="L52" i="7" s="1"/>
  <c r="M52" i="7" s="1"/>
  <c r="A53" i="7"/>
  <c r="A54" i="7" l="1"/>
  <c r="K53" i="7"/>
  <c r="L53" i="7" s="1"/>
  <c r="M53" i="7" s="1"/>
  <c r="K54" i="7" l="1"/>
  <c r="L54" i="7" s="1"/>
  <c r="M54" i="7" s="1"/>
  <c r="A55" i="7"/>
  <c r="K55" i="7" l="1"/>
  <c r="L55" i="7" s="1"/>
  <c r="M55" i="7" s="1"/>
  <c r="A56" i="7"/>
  <c r="A57" i="7" l="1"/>
  <c r="K56" i="7"/>
  <c r="L56" i="7" s="1"/>
  <c r="M56" i="7" s="1"/>
  <c r="A58" i="7" l="1"/>
  <c r="K57" i="7"/>
  <c r="L57" i="7" s="1"/>
  <c r="M57" i="7" s="1"/>
  <c r="A59" i="7" l="1"/>
  <c r="K58" i="7"/>
  <c r="L58" i="7" s="1"/>
  <c r="M58" i="7" s="1"/>
  <c r="A60" i="7" l="1"/>
  <c r="K59" i="7"/>
  <c r="L59" i="7" s="1"/>
  <c r="M59" i="7" s="1"/>
  <c r="A61" i="7" l="1"/>
  <c r="K60" i="7"/>
  <c r="L60" i="7" s="1"/>
  <c r="M60" i="7" s="1"/>
  <c r="A62" i="7" l="1"/>
  <c r="K61" i="7"/>
  <c r="L61" i="7" s="1"/>
  <c r="M61" i="7" s="1"/>
  <c r="A63" i="7" l="1"/>
  <c r="K62" i="7"/>
  <c r="L62" i="7" s="1"/>
  <c r="M62" i="7" s="1"/>
  <c r="A64" i="7" l="1"/>
  <c r="K64" i="7" s="1"/>
  <c r="L64" i="7" s="1"/>
  <c r="K63" i="7"/>
  <c r="L63" i="7" s="1"/>
  <c r="M63" i="7" s="1"/>
  <c r="M64" i="7" l="1"/>
  <c r="F8" i="7" l="1"/>
  <c r="G8" i="7"/>
</calcChain>
</file>

<file path=xl/sharedStrings.xml><?xml version="1.0" encoding="utf-8"?>
<sst xmlns="http://schemas.openxmlformats.org/spreadsheetml/2006/main" count="104" uniqueCount="64">
  <si>
    <t>Year</t>
  </si>
  <si>
    <t>Capital Cost
(M$)</t>
  </si>
  <si>
    <t>Revenue Profit 
(M$)</t>
  </si>
  <si>
    <t>Depreciation
(M$)</t>
  </si>
  <si>
    <t>Net Cash Flow
(M$)</t>
  </si>
  <si>
    <t>Discounted Factor</t>
  </si>
  <si>
    <t>Discounted Cash Flow
(M$)</t>
  </si>
  <si>
    <t>Commulative Discounted Cash Flow
(M$)</t>
  </si>
  <si>
    <t>Gas conumsption for each GT</t>
  </si>
  <si>
    <t>Economic Analysis of CCPP</t>
  </si>
  <si>
    <t>MW</t>
  </si>
  <si>
    <t>Economic input data</t>
  </si>
  <si>
    <t>Discount Rate</t>
  </si>
  <si>
    <t>%</t>
  </si>
  <si>
    <t xml:space="preserve">Book Life </t>
  </si>
  <si>
    <t>Years</t>
  </si>
  <si>
    <t>Availability</t>
  </si>
  <si>
    <t>hrs</t>
  </si>
  <si>
    <t>Value</t>
  </si>
  <si>
    <t>Unit</t>
  </si>
  <si>
    <t>Technical input data</t>
  </si>
  <si>
    <t>Economic Model Outcomes</t>
  </si>
  <si>
    <t>NPV</t>
  </si>
  <si>
    <t>PBP</t>
  </si>
  <si>
    <t>m3/h</t>
  </si>
  <si>
    <r>
      <t>Water Sold 
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/y)</t>
    </r>
  </si>
  <si>
    <t>Water Price</t>
  </si>
  <si>
    <t>Electricity price</t>
  </si>
  <si>
    <t>Electricity</t>
  </si>
  <si>
    <t>electrical  Cost 
(M$)</t>
  </si>
  <si>
    <t>steam consumption</t>
  </si>
  <si>
    <t>t/y</t>
  </si>
  <si>
    <t>Operation &amp; Maintanance Cost</t>
  </si>
  <si>
    <t xml:space="preserve">Pumps </t>
  </si>
  <si>
    <t>Maintanance Cost and operation
(M$)</t>
  </si>
  <si>
    <t>ARR</t>
  </si>
  <si>
    <r>
      <t>The cost assumed to Ghaffour et al 2013 which estimated by$1500/m</t>
    </r>
    <r>
      <rPr>
        <b/>
        <vertAlign val="superscript"/>
        <sz val="12"/>
        <color rgb="FFFF0000"/>
        <rFont val="Calibri"/>
        <family val="2"/>
        <scheme val="minor"/>
      </rPr>
      <t>3</t>
    </r>
  </si>
  <si>
    <t>RO Capital Cost</t>
  </si>
  <si>
    <t>Standard</t>
  </si>
  <si>
    <t>RO with PX</t>
  </si>
  <si>
    <t>RO Capicity</t>
  </si>
  <si>
    <t>RO with ERT</t>
  </si>
  <si>
    <t>electrical consumed
(kWh)</t>
  </si>
  <si>
    <t>PI</t>
  </si>
  <si>
    <t>(£/m3)</t>
  </si>
  <si>
    <t>£/kWh</t>
  </si>
  <si>
    <t>M£</t>
  </si>
  <si>
    <t>RO-PX</t>
  </si>
  <si>
    <t>PX</t>
  </si>
  <si>
    <t>note// added cost of PX</t>
  </si>
  <si>
    <t>main O&amp;P</t>
  </si>
  <si>
    <t>Booster pump</t>
  </si>
  <si>
    <t>PX e O&amp;P</t>
  </si>
  <si>
    <t>AD</t>
  </si>
  <si>
    <t>HPP+Booster</t>
  </si>
  <si>
    <t>Total O&amp;M</t>
  </si>
  <si>
    <t>note// added cost of AD</t>
  </si>
  <si>
    <t>note//added cost of Booster</t>
  </si>
  <si>
    <t>RO-PX-AD</t>
  </si>
  <si>
    <t>effect of period of time on PBP and NPV for AD plant</t>
  </si>
  <si>
    <t>year</t>
  </si>
  <si>
    <t xml:space="preserve"> </t>
  </si>
  <si>
    <t>RO-ERT</t>
  </si>
  <si>
    <t>Standard 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</si>
</sst>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6" formatCode="&quot;£&quot;#,##0.00"/>
    <numFmt numFmtId="167" formatCode="0.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5" tint="-0.249977111117893"/>
      <name val="Aharoni"/>
      <charset val="177"/>
    </font>
    <font>
      <sz val="11"/>
      <color theme="1"/>
      <name val="Aharoni"/>
      <charset val="177"/>
    </font>
    <font>
      <sz val="2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7" borderId="0" xfId="0" applyFill="1"/>
    <xf numFmtId="0" fontId="1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1" xfId="0" applyBorder="1"/>
    <xf numFmtId="0" fontId="1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6" fillId="9" borderId="0" xfId="2"/>
    <xf numFmtId="0" fontId="18" fillId="10" borderId="0" xfId="3" applyFont="1" applyAlignment="1">
      <alignment horizontal="center" vertical="center"/>
    </xf>
    <xf numFmtId="11" fontId="16" fillId="9" borderId="0" xfId="2" applyNumberFormat="1"/>
    <xf numFmtId="11" fontId="0" fillId="6" borderId="1" xfId="0" applyNumberForma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9" borderId="1" xfId="2" applyBorder="1" applyAlignment="1">
      <alignment horizontal="center" vertical="center"/>
    </xf>
    <xf numFmtId="0" fontId="16" fillId="9" borderId="1" xfId="2" applyBorder="1" applyAlignment="1">
      <alignment horizontal="center"/>
    </xf>
    <xf numFmtId="167" fontId="0" fillId="0" borderId="0" xfId="0" applyNumberFormat="1"/>
    <xf numFmtId="167" fontId="4" fillId="0" borderId="0" xfId="0" applyNumberFormat="1" applyFont="1" applyBorder="1" applyAlignment="1">
      <alignment horizontal="center" vertical="center"/>
    </xf>
    <xf numFmtId="0" fontId="7" fillId="2" borderId="2" xfId="1" applyFont="1" applyBorder="1" applyAlignment="1">
      <alignment horizontal="center" vertical="center"/>
    </xf>
    <xf numFmtId="0" fontId="7" fillId="2" borderId="4" xfId="1" applyFont="1" applyBorder="1" applyAlignment="1">
      <alignment horizontal="center" vertical="center"/>
    </xf>
    <xf numFmtId="0" fontId="7" fillId="2" borderId="5" xfId="1" applyFont="1" applyBorder="1" applyAlignment="1">
      <alignment horizontal="center" vertical="center"/>
    </xf>
    <xf numFmtId="0" fontId="7" fillId="2" borderId="0" xfId="1" applyFont="1" applyBorder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0" fontId="7" fillId="2" borderId="6" xfId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4">
    <cellStyle name="Accent1" xfId="1" builtinId="29"/>
    <cellStyle name="Bad" xfId="3" builtinId="27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NPV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66426071741031"/>
          <c:y val="0.17171296296296296"/>
          <c:w val="0.82678018372703399"/>
          <c:h val="0.65607283464566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calculation!$C$7:$C$10</c:f>
              <c:strCache>
                <c:ptCount val="4"/>
                <c:pt idx="0">
                  <c:v>Standard RO</c:v>
                </c:pt>
                <c:pt idx="1">
                  <c:v>RO-ERT</c:v>
                </c:pt>
                <c:pt idx="2">
                  <c:v>RO-PX</c:v>
                </c:pt>
                <c:pt idx="3">
                  <c:v>RO-PX-AD</c:v>
                </c:pt>
              </c:strCache>
            </c:strRef>
          </c:cat>
          <c:val>
            <c:numRef>
              <c:f>calculation!$D$7:$D$10</c:f>
              <c:numCache>
                <c:formatCode>0.0</c:formatCode>
                <c:ptCount val="4"/>
                <c:pt idx="0">
                  <c:v>48.678707018396658</c:v>
                </c:pt>
                <c:pt idx="1">
                  <c:v>105.17277989045506</c:v>
                </c:pt>
                <c:pt idx="2">
                  <c:v>116.75280256181989</c:v>
                </c:pt>
                <c:pt idx="3">
                  <c:v>115.913173763857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5A-4CFE-B74E-D24F34856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170352"/>
        <c:axId val="203169960"/>
      </c:barChart>
      <c:catAx>
        <c:axId val="20317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69960"/>
        <c:crosses val="autoZero"/>
        <c:auto val="1"/>
        <c:lblAlgn val="ctr"/>
        <c:lblOffset val="100"/>
        <c:noMultiLvlLbl val="0"/>
      </c:catAx>
      <c:valAx>
        <c:axId val="20316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Net present value</a:t>
                </a:r>
                <a:r>
                  <a:rPr lang="en-GB" sz="1000" b="0" i="0" u="none" strike="noStrike" baseline="0"/>
                  <a:t> (</a:t>
                </a:r>
                <a:r>
                  <a:rPr lang="en-GB"/>
                  <a:t>M£)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7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19836778215223"/>
          <c:y val="0.17171296296296298"/>
          <c:w val="0.84780163221784777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calculation!$D$12</c:f>
              <c:strCache>
                <c:ptCount val="1"/>
                <c:pt idx="0">
                  <c:v>PBP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calculation!$C$13:$C$16</c:f>
              <c:strCache>
                <c:ptCount val="4"/>
                <c:pt idx="0">
                  <c:v>Standard RO</c:v>
                </c:pt>
                <c:pt idx="1">
                  <c:v>RO-ERT</c:v>
                </c:pt>
                <c:pt idx="2">
                  <c:v>RO-PX</c:v>
                </c:pt>
                <c:pt idx="3">
                  <c:v>RO-PX-AD</c:v>
                </c:pt>
              </c:strCache>
            </c:strRef>
          </c:cat>
          <c:val>
            <c:numRef>
              <c:f>calculation!$D$13:$D$16</c:f>
              <c:numCache>
                <c:formatCode>General</c:formatCode>
                <c:ptCount val="4"/>
                <c:pt idx="0">
                  <c:v>2.1929710750879607</c:v>
                </c:pt>
                <c:pt idx="1">
                  <c:v>1.0002851192154614</c:v>
                </c:pt>
                <c:pt idx="2">
                  <c:v>0.82996222255651553</c:v>
                </c:pt>
                <c:pt idx="3">
                  <c:v>0.8431405114566477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B1-4E58-A069-57F74706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233712"/>
        <c:axId val="204234104"/>
      </c:barChart>
      <c:catAx>
        <c:axId val="20423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34104"/>
        <c:crosses val="autoZero"/>
        <c:auto val="1"/>
        <c:lblAlgn val="ctr"/>
        <c:lblOffset val="100"/>
        <c:noMultiLvlLbl val="0"/>
      </c:catAx>
      <c:valAx>
        <c:axId val="20423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Pay back period</a:t>
                </a:r>
                <a:r>
                  <a:rPr lang="en-GB" sz="1000" b="0" i="0" u="none" strike="noStrike" baseline="0"/>
                  <a:t> </a:t>
                </a:r>
                <a:r>
                  <a:rPr lang="en-GB"/>
                  <a:t>(Year)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3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calculation!$D$18</c:f>
              <c:strCache>
                <c:ptCount val="1"/>
                <c:pt idx="0">
                  <c:v>ARR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calculation!$C$19:$C$22</c:f>
              <c:strCache>
                <c:ptCount val="4"/>
                <c:pt idx="0">
                  <c:v>Standard RO</c:v>
                </c:pt>
                <c:pt idx="1">
                  <c:v>RO-ERT</c:v>
                </c:pt>
                <c:pt idx="2">
                  <c:v>RO-PX</c:v>
                </c:pt>
                <c:pt idx="3">
                  <c:v>RO-PX-AD</c:v>
                </c:pt>
              </c:strCache>
            </c:strRef>
          </c:cat>
          <c:val>
            <c:numRef>
              <c:f>calculation!$D$19:$D$22</c:f>
              <c:numCache>
                <c:formatCode>General</c:formatCode>
                <c:ptCount val="4"/>
                <c:pt idx="0">
                  <c:v>49.489132000000005</c:v>
                </c:pt>
                <c:pt idx="1">
                  <c:v>75.877284219780222</c:v>
                </c:pt>
                <c:pt idx="2">
                  <c:v>83.180302781542139</c:v>
                </c:pt>
                <c:pt idx="3">
                  <c:v>82.565444623476807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E4-45C9-B8B4-283C92E7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234888"/>
        <c:axId val="204235280"/>
      </c:barChart>
      <c:catAx>
        <c:axId val="20423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35280"/>
        <c:crosses val="autoZero"/>
        <c:auto val="1"/>
        <c:lblAlgn val="ctr"/>
        <c:lblOffset val="100"/>
        <c:noMultiLvlLbl val="0"/>
      </c:catAx>
      <c:valAx>
        <c:axId val="20423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Avarage rate return</a:t>
                </a:r>
                <a:r>
                  <a:rPr lang="en-GB" sz="1000" b="0" i="0" u="none" strike="noStrike" baseline="0"/>
                  <a:t> </a:t>
                </a:r>
                <a:r>
                  <a:rPr lang="en-GB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34888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calculation!$D$24</c:f>
              <c:strCache>
                <c:ptCount val="1"/>
                <c:pt idx="0">
                  <c:v>PI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calculation!$C$25:$C$28</c:f>
              <c:strCache>
                <c:ptCount val="4"/>
                <c:pt idx="0">
                  <c:v>Standard RO</c:v>
                </c:pt>
                <c:pt idx="1">
                  <c:v>RO-ERT</c:v>
                </c:pt>
                <c:pt idx="2">
                  <c:v>RO-PX</c:v>
                </c:pt>
                <c:pt idx="3">
                  <c:v>RO-PX-AD</c:v>
                </c:pt>
              </c:strCache>
            </c:strRef>
          </c:cat>
          <c:val>
            <c:numRef>
              <c:f>calculation!$D$25:$D$28</c:f>
              <c:numCache>
                <c:formatCode>General</c:formatCode>
                <c:ptCount val="4"/>
                <c:pt idx="0">
                  <c:v>343.67452777777777</c:v>
                </c:pt>
                <c:pt idx="1">
                  <c:v>521.13519381717185</c:v>
                </c:pt>
                <c:pt idx="2">
                  <c:v>571.01921636698648</c:v>
                </c:pt>
                <c:pt idx="3">
                  <c:v>566.15740094281637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79-4748-8E4F-28FA208FC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236064"/>
        <c:axId val="204236456"/>
      </c:barChart>
      <c:catAx>
        <c:axId val="20423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36456"/>
        <c:crosses val="autoZero"/>
        <c:auto val="1"/>
        <c:lblAlgn val="ctr"/>
        <c:lblOffset val="100"/>
        <c:noMultiLvlLbl val="0"/>
      </c:catAx>
      <c:valAx>
        <c:axId val="20423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Profibility  index (%)</a:t>
                </a:r>
                <a:r>
                  <a:rPr lang="en-GB" sz="1000" b="0" i="0" u="none" strike="noStrike" baseline="0"/>
                  <a:t> 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3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calculation!$D$38</c:f>
              <c:strCache>
                <c:ptCount val="1"/>
                <c:pt idx="0">
                  <c:v>NPV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calculation!$C$39:$C$41</c:f>
              <c:numCache>
                <c:formatCode>General</c:formatCode>
                <c:ptCount val="3"/>
                <c:pt idx="0">
                  <c:v>16</c:v>
                </c:pt>
                <c:pt idx="1">
                  <c:v>20</c:v>
                </c:pt>
                <c:pt idx="2">
                  <c:v>25</c:v>
                </c:pt>
              </c:numCache>
            </c:numRef>
          </c:cat>
          <c:val>
            <c:numRef>
              <c:f>calculation!$D$39:$D$41</c:f>
              <c:numCache>
                <c:formatCode>General</c:formatCode>
                <c:ptCount val="3"/>
                <c:pt idx="0">
                  <c:v>107.32457074971289</c:v>
                </c:pt>
                <c:pt idx="1">
                  <c:v>125.59700275812857</c:v>
                </c:pt>
                <c:pt idx="2">
                  <c:v>140.62977779191854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FA-46C6-99B5-C7CAFB46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37240"/>
        <c:axId val="205100776"/>
      </c:lineChart>
      <c:lineChart>
        <c:grouping val="standard"/>
        <c:varyColors val="0"/>
        <c:ser>
          <c:idx val="1"/>
          <c:order val="1"/>
          <c:tx>
            <c:strRef>
              <c:f>calculation!$G$38</c:f>
              <c:strCache>
                <c:ptCount val="1"/>
                <c:pt idx="0">
                  <c:v>PBP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2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cat>
            <c:numRef>
              <c:f>calculation!$C$39:$C$41</c:f>
              <c:numCache>
                <c:formatCode>General</c:formatCode>
                <c:ptCount val="3"/>
                <c:pt idx="0">
                  <c:v>16</c:v>
                </c:pt>
                <c:pt idx="1">
                  <c:v>20</c:v>
                </c:pt>
                <c:pt idx="2">
                  <c:v>25</c:v>
                </c:pt>
              </c:numCache>
            </c:numRef>
          </c:cat>
          <c:val>
            <c:numRef>
              <c:f>calculation!$G$39:$G$41</c:f>
              <c:numCache>
                <c:formatCode>General</c:formatCode>
                <c:ptCount val="3"/>
                <c:pt idx="0">
                  <c:v>1.4187216364912096</c:v>
                </c:pt>
                <c:pt idx="1">
                  <c:v>1.0833614566234804</c:v>
                </c:pt>
                <c:pt idx="2">
                  <c:v>0.51665694675152452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FA-46C6-99B5-C7CAFB46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01560"/>
        <c:axId val="205101168"/>
      </c:lineChart>
      <c:catAx>
        <c:axId val="204237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00776"/>
        <c:crosses val="autoZero"/>
        <c:auto val="1"/>
        <c:lblAlgn val="ctr"/>
        <c:lblOffset val="100"/>
        <c:noMultiLvlLbl val="0"/>
      </c:catAx>
      <c:valAx>
        <c:axId val="205100776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Net present value (M£)</a:t>
                </a:r>
                <a:endParaRPr lang="en-GB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37240"/>
        <c:crosses val="autoZero"/>
        <c:crossBetween val="between"/>
        <c:majorUnit val="15"/>
      </c:valAx>
      <c:valAx>
        <c:axId val="205101168"/>
        <c:scaling>
          <c:orientation val="minMax"/>
          <c:min val="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pay back period</a:t>
                </a:r>
                <a:r>
                  <a:rPr lang="en-GB" sz="1000" b="0" i="0" u="none" strike="noStrike" baseline="0"/>
                  <a:t> </a:t>
                </a:r>
                <a:r>
                  <a:rPr lang="en-GB"/>
                  <a:t>(year)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01560"/>
        <c:crosses val="max"/>
        <c:crossBetween val="between"/>
        <c:majorUnit val="0.30000000000000004"/>
      </c:valAx>
      <c:catAx>
        <c:axId val="205101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101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71437</xdr:colOff>
      <xdr:row>32</xdr:row>
      <xdr:rowOff>9525</xdr:rowOff>
    </xdr:from>
    <xdr:to>
      <xdr:col>24</xdr:col>
      <xdr:colOff>71437</xdr:colOff>
      <xdr:row>46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766762</xdr:colOff>
      <xdr:row>10</xdr:row>
      <xdr:rowOff>152400</xdr:rowOff>
    </xdr:from>
    <xdr:to>
      <xdr:col>14</xdr:col>
      <xdr:colOff>271462</xdr:colOff>
      <xdr:row>25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414337</xdr:colOff>
      <xdr:row>2</xdr:row>
      <xdr:rowOff>28575</xdr:rowOff>
    </xdr:from>
    <xdr:to>
      <xdr:col>23</xdr:col>
      <xdr:colOff>109537</xdr:colOff>
      <xdr:row>16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461962</xdr:colOff>
      <xdr:row>17</xdr:row>
      <xdr:rowOff>38100</xdr:rowOff>
    </xdr:from>
    <xdr:to>
      <xdr:col>23</xdr:col>
      <xdr:colOff>157162</xdr:colOff>
      <xdr:row>31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476250</xdr:colOff>
      <xdr:row>34</xdr:row>
      <xdr:rowOff>57150</xdr:rowOff>
    </xdr:from>
    <xdr:to>
      <xdr:col>15</xdr:col>
      <xdr:colOff>171450</xdr:colOff>
      <xdr:row>48</xdr:row>
      <xdr:rowOff>133350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zoomScale="71" zoomScaleNormal="71" workbookViewId="0">
      <selection activeCell="F8" sqref="F8:I8"/>
    </sheetView>
  </sheetViews>
  <sheetFormatPr defaultRowHeight="15" x14ac:dyDescent="0.25"/>
  <cols>
    <col min="1" max="1" width="29.42578125" style="1" customWidth="1"/>
    <col min="2" max="2" width="30.28515625" customWidth="1"/>
    <col min="3" max="3" width="21.28515625" customWidth="1"/>
    <col min="4" max="4" width="27.7109375" bestFit="1" customWidth="1"/>
    <col min="5" max="5" width="24.7109375" bestFit="1" customWidth="1"/>
    <col min="6" max="7" width="26.5703125" customWidth="1"/>
    <col min="8" max="8" width="14.7109375" customWidth="1"/>
    <col min="9" max="9" width="22.7109375" customWidth="1"/>
    <col min="10" max="10" width="18.5703125" customWidth="1"/>
    <col min="11" max="11" width="14.7109375" customWidth="1"/>
    <col min="12" max="12" width="15.85546875" customWidth="1"/>
    <col min="13" max="13" width="25.85546875" customWidth="1"/>
  </cols>
  <sheetData>
    <row r="1" spans="1:11" ht="15.75" customHeight="1" x14ac:dyDescent="0.25">
      <c r="A1" s="36" t="s">
        <v>47</v>
      </c>
      <c r="D1" s="45" t="s">
        <v>9</v>
      </c>
      <c r="E1" s="46"/>
      <c r="F1" s="46"/>
      <c r="G1" s="46"/>
      <c r="H1" s="46"/>
      <c r="I1" s="46"/>
    </row>
    <row r="2" spans="1:11" ht="15.75" customHeight="1" x14ac:dyDescent="0.25">
      <c r="A2" s="41" t="s">
        <v>54</v>
      </c>
      <c r="B2" s="42">
        <f>2316.67+42.3</f>
        <v>2358.9700000000003</v>
      </c>
      <c r="C2">
        <v>970.79365079365095</v>
      </c>
      <c r="D2" s="47"/>
      <c r="E2" s="48"/>
      <c r="F2" s="48"/>
      <c r="G2" s="48"/>
      <c r="H2" s="48"/>
      <c r="I2" s="48"/>
    </row>
    <row r="3" spans="1:11" ht="15.75" customHeight="1" x14ac:dyDescent="0.25">
      <c r="A3" s="41" t="s">
        <v>48</v>
      </c>
      <c r="B3" s="42">
        <v>970.79365079365095</v>
      </c>
      <c r="C3">
        <v>2316.67</v>
      </c>
      <c r="D3" s="49"/>
      <c r="E3" s="50"/>
      <c r="F3" s="50"/>
      <c r="G3" s="50"/>
      <c r="H3" s="50"/>
      <c r="I3" s="50"/>
    </row>
    <row r="4" spans="1:11" ht="15.75" customHeight="1" x14ac:dyDescent="0.25">
      <c r="A4" s="41" t="s">
        <v>53</v>
      </c>
      <c r="B4" s="41">
        <v>0</v>
      </c>
      <c r="C4">
        <v>42.3010748971193</v>
      </c>
      <c r="D4" s="4"/>
      <c r="E4" s="32"/>
      <c r="F4" s="33" t="s">
        <v>22</v>
      </c>
      <c r="G4" s="33" t="s">
        <v>23</v>
      </c>
      <c r="H4" s="33" t="s">
        <v>35</v>
      </c>
      <c r="I4" s="33" t="s">
        <v>43</v>
      </c>
    </row>
    <row r="5" spans="1:11" ht="15.75" customHeight="1" x14ac:dyDescent="0.25">
      <c r="A5"/>
      <c r="B5">
        <f>(B2+B4-B3)/1000</f>
        <v>1.3881763492063492</v>
      </c>
      <c r="D5" s="44">
        <v>881.76862727100001</v>
      </c>
      <c r="E5" s="32" t="s">
        <v>38</v>
      </c>
    </row>
    <row r="6" spans="1:11" ht="15.75" customHeight="1" x14ac:dyDescent="0.25">
      <c r="A6" s="10" t="s">
        <v>20</v>
      </c>
      <c r="B6" s="10" t="s">
        <v>18</v>
      </c>
      <c r="C6" s="10" t="s">
        <v>19</v>
      </c>
      <c r="D6" s="43">
        <v>90.844334328021603</v>
      </c>
      <c r="E6" s="32" t="s">
        <v>41</v>
      </c>
      <c r="F6" s="33"/>
      <c r="G6" s="33"/>
      <c r="H6" s="33"/>
      <c r="I6" s="33"/>
    </row>
    <row r="7" spans="1:11" ht="15.75" customHeight="1" x14ac:dyDescent="0.25">
      <c r="A7" s="5" t="s">
        <v>40</v>
      </c>
      <c r="B7" s="6">
        <v>1000.26</v>
      </c>
      <c r="C7" s="6" t="s">
        <v>24</v>
      </c>
      <c r="D7" s="43">
        <f>D6+D5</f>
        <v>972.61296159902167</v>
      </c>
      <c r="E7" s="32" t="s">
        <v>39</v>
      </c>
      <c r="F7" s="39"/>
      <c r="G7" s="39"/>
      <c r="H7" s="40"/>
      <c r="I7" s="40"/>
    </row>
    <row r="8" spans="1:11" ht="15.75" customHeight="1" x14ac:dyDescent="0.25">
      <c r="A8" s="7" t="s">
        <v>28</v>
      </c>
      <c r="B8" s="7">
        <v>0.97199999999999998</v>
      </c>
      <c r="C8" s="6" t="s">
        <v>10</v>
      </c>
      <c r="D8" s="43"/>
      <c r="E8" s="32" t="s">
        <v>58</v>
      </c>
      <c r="F8" s="33">
        <f>B23</f>
        <v>115.913173763857</v>
      </c>
      <c r="G8" s="33">
        <f>B24</f>
        <v>0.8431405114566477</v>
      </c>
      <c r="H8" s="33">
        <f>B25</f>
        <v>82.565444623476807</v>
      </c>
      <c r="I8" s="33">
        <f>B26</f>
        <v>566.15740094281637</v>
      </c>
    </row>
    <row r="9" spans="1:11" ht="15.75" customHeight="1" x14ac:dyDescent="0.25">
      <c r="A9" s="7" t="s">
        <v>30</v>
      </c>
      <c r="B9" s="7"/>
      <c r="C9" s="6" t="s">
        <v>31</v>
      </c>
      <c r="D9" s="43"/>
    </row>
    <row r="10" spans="1:11" ht="12" customHeight="1" x14ac:dyDescent="0.25">
      <c r="A10" s="7"/>
      <c r="B10" s="7"/>
      <c r="C10" s="6"/>
      <c r="D10" s="43"/>
    </row>
    <row r="11" spans="1:11" ht="36" customHeight="1" x14ac:dyDescent="0.25">
      <c r="A11" s="7" t="s">
        <v>8</v>
      </c>
      <c r="B11" s="7"/>
      <c r="C11" s="6"/>
    </row>
    <row r="12" spans="1:11" ht="17.25" customHeight="1" x14ac:dyDescent="0.25">
      <c r="A12" s="12"/>
      <c r="B12" s="13"/>
      <c r="C12" s="13"/>
      <c r="D12" s="4"/>
      <c r="E12" s="4"/>
    </row>
    <row r="13" spans="1:11" ht="15.75" customHeight="1" x14ac:dyDescent="0.25">
      <c r="A13" s="11" t="s">
        <v>11</v>
      </c>
      <c r="B13" s="11" t="s">
        <v>18</v>
      </c>
      <c r="C13" s="11" t="s">
        <v>19</v>
      </c>
      <c r="D13" s="4"/>
      <c r="E13" s="4"/>
      <c r="F13" s="4"/>
      <c r="G13" s="4"/>
      <c r="H13" s="4"/>
      <c r="I13" s="4"/>
    </row>
    <row r="14" spans="1:11" ht="15.75" customHeight="1" x14ac:dyDescent="0.25">
      <c r="A14" s="8" t="s">
        <v>27</v>
      </c>
      <c r="B14" s="9">
        <v>0.08</v>
      </c>
      <c r="C14" s="9" t="s">
        <v>45</v>
      </c>
      <c r="D14" s="51" t="s">
        <v>36</v>
      </c>
      <c r="E14" s="52"/>
      <c r="F14" s="52"/>
      <c r="G14" s="52"/>
      <c r="H14" s="52"/>
      <c r="I14" s="52"/>
      <c r="J14" s="23"/>
      <c r="K14" s="23"/>
    </row>
    <row r="15" spans="1:11" ht="15.75" customHeight="1" x14ac:dyDescent="0.25">
      <c r="A15" s="8" t="s">
        <v>26</v>
      </c>
      <c r="B15" s="9">
        <v>1.6</v>
      </c>
      <c r="C15" s="9" t="s">
        <v>44</v>
      </c>
      <c r="D15" s="4"/>
      <c r="E15" s="24"/>
      <c r="F15" s="25"/>
      <c r="G15" s="25"/>
      <c r="H15" s="25"/>
      <c r="I15" s="26"/>
    </row>
    <row r="16" spans="1:11" x14ac:dyDescent="0.25">
      <c r="A16" s="8" t="s">
        <v>12</v>
      </c>
      <c r="B16" s="9">
        <v>0.05</v>
      </c>
      <c r="C16" s="9" t="s">
        <v>13</v>
      </c>
      <c r="E16" s="25"/>
      <c r="F16" s="25"/>
      <c r="G16" s="25"/>
      <c r="H16" s="25"/>
      <c r="I16" s="25"/>
    </row>
    <row r="17" spans="1:13" x14ac:dyDescent="0.25">
      <c r="A17" s="8" t="s">
        <v>14</v>
      </c>
      <c r="B17" s="9">
        <v>16</v>
      </c>
      <c r="C17" s="9" t="s">
        <v>15</v>
      </c>
      <c r="E17" s="25"/>
      <c r="F17" s="53"/>
      <c r="G17" s="53"/>
      <c r="H17" s="53"/>
      <c r="I17" s="25"/>
    </row>
    <row r="18" spans="1:13" x14ac:dyDescent="0.25">
      <c r="A18" s="8" t="s">
        <v>16</v>
      </c>
      <c r="B18" s="9">
        <v>7920</v>
      </c>
      <c r="C18" s="9" t="s">
        <v>17</v>
      </c>
      <c r="F18" s="25"/>
      <c r="G18" s="25"/>
      <c r="H18" s="25"/>
      <c r="I18" s="25"/>
    </row>
    <row r="19" spans="1:13" ht="21" customHeight="1" x14ac:dyDescent="0.25">
      <c r="A19" s="8" t="s">
        <v>32</v>
      </c>
      <c r="B19" s="9">
        <v>0.08</v>
      </c>
      <c r="C19" s="9" t="s">
        <v>44</v>
      </c>
      <c r="D19" s="35" t="s">
        <v>37</v>
      </c>
      <c r="E19" s="35">
        <v>14.4</v>
      </c>
      <c r="F19" s="54"/>
      <c r="G19" s="54"/>
      <c r="H19" s="54"/>
      <c r="I19" s="54"/>
    </row>
    <row r="20" spans="1:13" ht="15.75" customHeight="1" x14ac:dyDescent="0.25">
      <c r="A20" s="12"/>
      <c r="B20" s="12"/>
      <c r="C20" s="12"/>
      <c r="D20" s="35" t="s">
        <v>49</v>
      </c>
      <c r="E20" s="37">
        <f>(83494.18/1000000)</f>
        <v>8.3494179999999987E-2</v>
      </c>
      <c r="G20" s="25"/>
      <c r="H20" s="25"/>
      <c r="I20" s="25"/>
    </row>
    <row r="21" spans="1:13" x14ac:dyDescent="0.25">
      <c r="A21" s="14" t="s">
        <v>21</v>
      </c>
      <c r="B21" s="15" t="s">
        <v>18</v>
      </c>
      <c r="C21" s="15" t="s">
        <v>19</v>
      </c>
      <c r="D21" s="35" t="s">
        <v>57</v>
      </c>
      <c r="E21" s="35">
        <v>8.3494179999999987E-2</v>
      </c>
      <c r="F21" s="21" t="s">
        <v>50</v>
      </c>
      <c r="G21" s="21">
        <v>0.08</v>
      </c>
      <c r="H21" s="25"/>
      <c r="I21" s="25"/>
    </row>
    <row r="22" spans="1:13" x14ac:dyDescent="0.25">
      <c r="A22" s="14" t="s">
        <v>37</v>
      </c>
      <c r="B22" s="38">
        <f>E19+E20+E21+E22</f>
        <v>14.583478814545456</v>
      </c>
      <c r="C22" s="16" t="s">
        <v>46</v>
      </c>
      <c r="D22" s="35" t="s">
        <v>56</v>
      </c>
      <c r="E22" s="35">
        <v>1.6490454545454499E-2</v>
      </c>
      <c r="F22" s="21" t="s">
        <v>52</v>
      </c>
      <c r="G22" s="21">
        <v>0.01</v>
      </c>
      <c r="H22">
        <f>G21+G22+G23</f>
        <v>9.0000000027565294E-2</v>
      </c>
    </row>
    <row r="23" spans="1:13" x14ac:dyDescent="0.25">
      <c r="A23" s="14" t="s">
        <v>22</v>
      </c>
      <c r="B23" s="14">
        <f>M45</f>
        <v>115.913173763857</v>
      </c>
      <c r="C23" s="16" t="s">
        <v>46</v>
      </c>
      <c r="F23" s="21" t="s">
        <v>51</v>
      </c>
      <c r="G23" s="21">
        <v>2.7565296803652966E-11</v>
      </c>
    </row>
    <row r="24" spans="1:13" x14ac:dyDescent="0.25">
      <c r="A24" s="16" t="s">
        <v>23</v>
      </c>
      <c r="B24" s="16">
        <f>INTERCEPT(A29:A45,M29:M45)</f>
        <v>0.8431405114566477</v>
      </c>
      <c r="C24" s="16" t="s">
        <v>15</v>
      </c>
      <c r="F24" s="21" t="s">
        <v>53</v>
      </c>
      <c r="G24" s="21">
        <v>9.0000000027565294E-2</v>
      </c>
    </row>
    <row r="25" spans="1:13" x14ac:dyDescent="0.25">
      <c r="A25" s="22" t="s">
        <v>35</v>
      </c>
      <c r="B25" s="28">
        <f>(J30/B22)*100</f>
        <v>82.565444623476807</v>
      </c>
      <c r="C25" s="28" t="s">
        <v>13</v>
      </c>
      <c r="F25" s="21" t="s">
        <v>55</v>
      </c>
      <c r="G25" s="21">
        <f>G21+G22+G23+G24</f>
        <v>0.18000000005513059</v>
      </c>
      <c r="J25">
        <f>J29+J30</f>
        <v>-2.5425646897454559</v>
      </c>
    </row>
    <row r="26" spans="1:13" x14ac:dyDescent="0.25">
      <c r="A26" s="27" t="s">
        <v>43</v>
      </c>
      <c r="B26" s="29">
        <f>B25/B22*100</f>
        <v>566.15740094281637</v>
      </c>
      <c r="C26" s="29" t="s">
        <v>13</v>
      </c>
    </row>
    <row r="27" spans="1:13" x14ac:dyDescent="0.25">
      <c r="E27" s="21" t="s">
        <v>33</v>
      </c>
    </row>
    <row r="28" spans="1:13" ht="60" x14ac:dyDescent="0.25">
      <c r="A28" s="17" t="s">
        <v>0</v>
      </c>
      <c r="B28" s="18" t="s">
        <v>1</v>
      </c>
      <c r="C28" s="18" t="s">
        <v>25</v>
      </c>
      <c r="D28" s="18" t="s">
        <v>2</v>
      </c>
      <c r="E28" s="18" t="s">
        <v>42</v>
      </c>
      <c r="F28" s="18" t="s">
        <v>29</v>
      </c>
      <c r="G28" s="19"/>
      <c r="H28" s="18" t="s">
        <v>34</v>
      </c>
      <c r="I28" s="18" t="s">
        <v>3</v>
      </c>
      <c r="J28" s="18" t="s">
        <v>4</v>
      </c>
      <c r="K28" s="18" t="s">
        <v>5</v>
      </c>
      <c r="L28" s="18" t="s">
        <v>6</v>
      </c>
      <c r="M28" s="18" t="s">
        <v>7</v>
      </c>
    </row>
    <row r="29" spans="1:13" x14ac:dyDescent="0.25">
      <c r="A29" s="2">
        <v>0</v>
      </c>
      <c r="B29" s="2">
        <f>-B22</f>
        <v>-14.583478814545456</v>
      </c>
      <c r="C29" s="2">
        <v>0</v>
      </c>
      <c r="D29" s="2">
        <v>0</v>
      </c>
      <c r="E29" s="2">
        <v>0</v>
      </c>
      <c r="F29" s="2">
        <v>0</v>
      </c>
      <c r="G29" s="20"/>
      <c r="H29" s="2">
        <v>0</v>
      </c>
      <c r="I29" s="2">
        <v>0</v>
      </c>
      <c r="J29" s="2">
        <f>B29+D29+F29+H29</f>
        <v>-14.583478814545456</v>
      </c>
      <c r="K29" s="2">
        <f t="shared" ref="K29:K54" si="0">(1+$B$16)^A29</f>
        <v>1</v>
      </c>
      <c r="L29" s="2">
        <f>J29/K29</f>
        <v>-14.583478814545456</v>
      </c>
      <c r="M29" s="2">
        <f>L29</f>
        <v>-14.583478814545456</v>
      </c>
    </row>
    <row r="30" spans="1:13" x14ac:dyDescent="0.25">
      <c r="A30" s="2">
        <f>A29+1</f>
        <v>1</v>
      </c>
      <c r="B30" s="2">
        <v>0</v>
      </c>
      <c r="C30" s="2">
        <f>$B$18*$B$7</f>
        <v>7922059.2000000002</v>
      </c>
      <c r="D30" s="2">
        <f>C30*$B$15/1000000</f>
        <v>12.67529472</v>
      </c>
      <c r="E30" s="2">
        <f>B8*B18</f>
        <v>7698.24</v>
      </c>
      <c r="F30" s="2">
        <f>-E30*B14/1000000</f>
        <v>-6.1585920000000003E-4</v>
      </c>
      <c r="G30" s="20"/>
      <c r="H30" s="31">
        <f>-C30*B19/1000000</f>
        <v>-0.63376473600000005</v>
      </c>
      <c r="I30" s="2">
        <f t="shared" ref="I30:I64" si="1">$B$29/$B$17</f>
        <v>-0.91146742590909102</v>
      </c>
      <c r="J30" s="2">
        <f>B30+D30+F30+G30+H30</f>
        <v>12.0409141248</v>
      </c>
      <c r="K30" s="2">
        <f t="shared" si="0"/>
        <v>1.05</v>
      </c>
      <c r="L30" s="2">
        <f>J30/K30</f>
        <v>11.467537261714286</v>
      </c>
      <c r="M30" s="2">
        <f>M29+L30</f>
        <v>-3.1159415528311705</v>
      </c>
    </row>
    <row r="31" spans="1:13" x14ac:dyDescent="0.25">
      <c r="A31" s="2">
        <f t="shared" ref="A31:A64" si="2">A30+1</f>
        <v>2</v>
      </c>
      <c r="B31" s="2">
        <f t="shared" ref="B31" si="3">B30</f>
        <v>0</v>
      </c>
      <c r="C31" s="2">
        <f t="shared" ref="C31:C64" si="4">$B$18*$B$7</f>
        <v>7922059.2000000002</v>
      </c>
      <c r="D31" s="2">
        <f t="shared" ref="D31:D54" si="5">C31*$B$15/1000000</f>
        <v>12.67529472</v>
      </c>
      <c r="E31" s="2">
        <f>E30</f>
        <v>7698.24</v>
      </c>
      <c r="F31" s="2">
        <f>F30</f>
        <v>-6.1585920000000003E-4</v>
      </c>
      <c r="G31" s="20"/>
      <c r="H31" s="2">
        <f>H30</f>
        <v>-0.63376473600000005</v>
      </c>
      <c r="I31" s="2">
        <f t="shared" si="1"/>
        <v>-0.91146742590909102</v>
      </c>
      <c r="J31" s="2">
        <f>J30</f>
        <v>12.0409141248</v>
      </c>
      <c r="K31" s="2">
        <f t="shared" si="0"/>
        <v>1.1025</v>
      </c>
      <c r="L31" s="2">
        <f t="shared" ref="L31:L54" si="6">J31/K31</f>
        <v>10.921464058775511</v>
      </c>
      <c r="M31" s="2">
        <f t="shared" ref="M31:M54" si="7">M30+L31</f>
        <v>7.8055225059443405</v>
      </c>
    </row>
    <row r="32" spans="1:13" x14ac:dyDescent="0.25">
      <c r="A32" s="2">
        <f t="shared" si="2"/>
        <v>3</v>
      </c>
      <c r="B32" s="2">
        <f>B31</f>
        <v>0</v>
      </c>
      <c r="C32" s="2">
        <f t="shared" si="4"/>
        <v>7922059.2000000002</v>
      </c>
      <c r="D32" s="2">
        <f t="shared" si="5"/>
        <v>12.67529472</v>
      </c>
      <c r="E32" s="2">
        <f t="shared" ref="E32:F54" si="8">E31</f>
        <v>7698.24</v>
      </c>
      <c r="F32" s="2">
        <f t="shared" si="8"/>
        <v>-6.1585920000000003E-4</v>
      </c>
      <c r="G32" s="20"/>
      <c r="H32" s="2">
        <f t="shared" ref="H32:H64" si="9">H31</f>
        <v>-0.63376473600000005</v>
      </c>
      <c r="I32" s="2">
        <f t="shared" si="1"/>
        <v>-0.91146742590909102</v>
      </c>
      <c r="J32" s="2">
        <f t="shared" ref="J32:J64" si="10">J31</f>
        <v>12.0409141248</v>
      </c>
      <c r="K32" s="2">
        <f t="shared" si="0"/>
        <v>1.1576250000000001</v>
      </c>
      <c r="L32" s="2">
        <f t="shared" si="6"/>
        <v>10.401394341690962</v>
      </c>
      <c r="M32" s="2">
        <f t="shared" si="7"/>
        <v>18.206916847635302</v>
      </c>
    </row>
    <row r="33" spans="1:13" x14ac:dyDescent="0.25">
      <c r="A33" s="2">
        <f t="shared" si="2"/>
        <v>4</v>
      </c>
      <c r="B33" s="2">
        <f t="shared" ref="B33:B64" si="11">B32</f>
        <v>0</v>
      </c>
      <c r="C33" s="2">
        <f t="shared" si="4"/>
        <v>7922059.2000000002</v>
      </c>
      <c r="D33" s="2">
        <f t="shared" si="5"/>
        <v>12.67529472</v>
      </c>
      <c r="E33" s="2">
        <f t="shared" si="8"/>
        <v>7698.24</v>
      </c>
      <c r="F33" s="2">
        <f t="shared" si="8"/>
        <v>-6.1585920000000003E-4</v>
      </c>
      <c r="G33" s="20"/>
      <c r="H33" s="2">
        <f t="shared" si="9"/>
        <v>-0.63376473600000005</v>
      </c>
      <c r="I33" s="2">
        <f t="shared" si="1"/>
        <v>-0.91146742590909102</v>
      </c>
      <c r="J33" s="2">
        <f t="shared" si="10"/>
        <v>12.0409141248</v>
      </c>
      <c r="K33" s="2">
        <f t="shared" si="0"/>
        <v>1.21550625</v>
      </c>
      <c r="L33" s="2">
        <f t="shared" si="6"/>
        <v>9.9060898492294882</v>
      </c>
      <c r="M33" s="2">
        <f t="shared" si="7"/>
        <v>28.11300669686479</v>
      </c>
    </row>
    <row r="34" spans="1:13" x14ac:dyDescent="0.25">
      <c r="A34" s="2">
        <f t="shared" si="2"/>
        <v>5</v>
      </c>
      <c r="B34" s="2">
        <f t="shared" si="11"/>
        <v>0</v>
      </c>
      <c r="C34" s="2">
        <f t="shared" si="4"/>
        <v>7922059.2000000002</v>
      </c>
      <c r="D34" s="2">
        <f t="shared" si="5"/>
        <v>12.67529472</v>
      </c>
      <c r="E34" s="2">
        <f t="shared" si="8"/>
        <v>7698.24</v>
      </c>
      <c r="F34" s="2">
        <f t="shared" si="8"/>
        <v>-6.1585920000000003E-4</v>
      </c>
      <c r="G34" s="20"/>
      <c r="H34" s="2">
        <f t="shared" si="9"/>
        <v>-0.63376473600000005</v>
      </c>
      <c r="I34" s="2">
        <f t="shared" si="1"/>
        <v>-0.91146742590909102</v>
      </c>
      <c r="J34" s="2">
        <f t="shared" si="10"/>
        <v>12.0409141248</v>
      </c>
      <c r="K34" s="2">
        <f t="shared" si="0"/>
        <v>1.2762815625000001</v>
      </c>
      <c r="L34" s="2">
        <f t="shared" si="6"/>
        <v>9.4343712849804646</v>
      </c>
      <c r="M34" s="2">
        <f t="shared" si="7"/>
        <v>37.547377981845258</v>
      </c>
    </row>
    <row r="35" spans="1:13" x14ac:dyDescent="0.25">
      <c r="A35" s="2">
        <f t="shared" si="2"/>
        <v>6</v>
      </c>
      <c r="B35" s="2">
        <f t="shared" si="11"/>
        <v>0</v>
      </c>
      <c r="C35" s="2">
        <f t="shared" si="4"/>
        <v>7922059.2000000002</v>
      </c>
      <c r="D35" s="2">
        <f t="shared" si="5"/>
        <v>12.67529472</v>
      </c>
      <c r="E35" s="2">
        <f t="shared" si="8"/>
        <v>7698.24</v>
      </c>
      <c r="F35" s="2">
        <f t="shared" si="8"/>
        <v>-6.1585920000000003E-4</v>
      </c>
      <c r="G35" s="20"/>
      <c r="H35" s="2">
        <f t="shared" si="9"/>
        <v>-0.63376473600000005</v>
      </c>
      <c r="I35" s="2">
        <f t="shared" si="1"/>
        <v>-0.91146742590909102</v>
      </c>
      <c r="J35" s="2">
        <f t="shared" si="10"/>
        <v>12.0409141248</v>
      </c>
      <c r="K35" s="2">
        <f t="shared" si="0"/>
        <v>1.340095640625</v>
      </c>
      <c r="L35" s="2">
        <f t="shared" si="6"/>
        <v>8.9851155095052047</v>
      </c>
      <c r="M35" s="2">
        <f t="shared" si="7"/>
        <v>46.532493491350465</v>
      </c>
    </row>
    <row r="36" spans="1:13" x14ac:dyDescent="0.25">
      <c r="A36" s="2">
        <f t="shared" si="2"/>
        <v>7</v>
      </c>
      <c r="B36" s="2">
        <f t="shared" si="11"/>
        <v>0</v>
      </c>
      <c r="C36" s="2">
        <f t="shared" si="4"/>
        <v>7922059.2000000002</v>
      </c>
      <c r="D36" s="2">
        <f t="shared" si="5"/>
        <v>12.67529472</v>
      </c>
      <c r="E36" s="2">
        <f t="shared" si="8"/>
        <v>7698.24</v>
      </c>
      <c r="F36" s="2">
        <f t="shared" si="8"/>
        <v>-6.1585920000000003E-4</v>
      </c>
      <c r="G36" s="20"/>
      <c r="H36" s="2">
        <f t="shared" si="9"/>
        <v>-0.63376473600000005</v>
      </c>
      <c r="I36" s="2">
        <f t="shared" si="1"/>
        <v>-0.91146742590909102</v>
      </c>
      <c r="J36" s="2">
        <f t="shared" si="10"/>
        <v>12.0409141248</v>
      </c>
      <c r="K36" s="2">
        <f t="shared" si="0"/>
        <v>1.4071004226562502</v>
      </c>
      <c r="L36" s="2">
        <f t="shared" si="6"/>
        <v>8.5572528661954319</v>
      </c>
      <c r="M36" s="2">
        <f t="shared" si="7"/>
        <v>55.089746357545899</v>
      </c>
    </row>
    <row r="37" spans="1:13" x14ac:dyDescent="0.25">
      <c r="A37" s="2">
        <f t="shared" si="2"/>
        <v>8</v>
      </c>
      <c r="B37" s="2">
        <f t="shared" si="11"/>
        <v>0</v>
      </c>
      <c r="C37" s="2">
        <f t="shared" si="4"/>
        <v>7922059.2000000002</v>
      </c>
      <c r="D37" s="2">
        <f t="shared" si="5"/>
        <v>12.67529472</v>
      </c>
      <c r="E37" s="2">
        <f t="shared" si="8"/>
        <v>7698.24</v>
      </c>
      <c r="F37" s="2">
        <f t="shared" si="8"/>
        <v>-6.1585920000000003E-4</v>
      </c>
      <c r="G37" s="20"/>
      <c r="H37" s="2">
        <f t="shared" si="9"/>
        <v>-0.63376473600000005</v>
      </c>
      <c r="I37" s="2">
        <f t="shared" si="1"/>
        <v>-0.91146742590909102</v>
      </c>
      <c r="J37" s="2">
        <f t="shared" si="10"/>
        <v>12.0409141248</v>
      </c>
      <c r="K37" s="2">
        <f t="shared" si="0"/>
        <v>1.4774554437890626</v>
      </c>
      <c r="L37" s="2">
        <f t="shared" si="6"/>
        <v>8.1497646344718397</v>
      </c>
      <c r="M37" s="2">
        <f t="shared" si="7"/>
        <v>63.239510992017742</v>
      </c>
    </row>
    <row r="38" spans="1:13" x14ac:dyDescent="0.25">
      <c r="A38" s="2">
        <f t="shared" si="2"/>
        <v>9</v>
      </c>
      <c r="B38" s="2">
        <f t="shared" si="11"/>
        <v>0</v>
      </c>
      <c r="C38" s="2">
        <f t="shared" si="4"/>
        <v>7922059.2000000002</v>
      </c>
      <c r="D38" s="2">
        <f t="shared" si="5"/>
        <v>12.67529472</v>
      </c>
      <c r="E38" s="2">
        <f t="shared" si="8"/>
        <v>7698.24</v>
      </c>
      <c r="F38" s="2">
        <f t="shared" si="8"/>
        <v>-6.1585920000000003E-4</v>
      </c>
      <c r="G38" s="20"/>
      <c r="H38" s="2">
        <f t="shared" si="9"/>
        <v>-0.63376473600000005</v>
      </c>
      <c r="I38" s="2">
        <f t="shared" si="1"/>
        <v>-0.91146742590909102</v>
      </c>
      <c r="J38" s="2">
        <f t="shared" si="10"/>
        <v>12.0409141248</v>
      </c>
      <c r="K38" s="2">
        <f t="shared" si="0"/>
        <v>1.5513282159785158</v>
      </c>
      <c r="L38" s="2">
        <f t="shared" si="6"/>
        <v>7.7616806042588955</v>
      </c>
      <c r="M38" s="2">
        <f t="shared" si="7"/>
        <v>71.001191596276641</v>
      </c>
    </row>
    <row r="39" spans="1:13" x14ac:dyDescent="0.25">
      <c r="A39" s="2">
        <f t="shared" si="2"/>
        <v>10</v>
      </c>
      <c r="B39" s="2">
        <f t="shared" si="11"/>
        <v>0</v>
      </c>
      <c r="C39" s="2">
        <f t="shared" si="4"/>
        <v>7922059.2000000002</v>
      </c>
      <c r="D39" s="2">
        <f t="shared" si="5"/>
        <v>12.67529472</v>
      </c>
      <c r="E39" s="2">
        <f t="shared" si="8"/>
        <v>7698.24</v>
      </c>
      <c r="F39" s="2">
        <f t="shared" si="8"/>
        <v>-6.1585920000000003E-4</v>
      </c>
      <c r="G39" s="20"/>
      <c r="H39" s="2">
        <f t="shared" si="9"/>
        <v>-0.63376473600000005</v>
      </c>
      <c r="I39" s="2">
        <f t="shared" si="1"/>
        <v>-0.91146742590909102</v>
      </c>
      <c r="J39" s="2">
        <f t="shared" si="10"/>
        <v>12.0409141248</v>
      </c>
      <c r="K39" s="2">
        <f t="shared" si="0"/>
        <v>1.6288946267774416</v>
      </c>
      <c r="L39" s="2">
        <f t="shared" si="6"/>
        <v>7.3920767659608524</v>
      </c>
      <c r="M39" s="2">
        <f t="shared" si="7"/>
        <v>78.393268362237492</v>
      </c>
    </row>
    <row r="40" spans="1:13" x14ac:dyDescent="0.25">
      <c r="A40" s="2">
        <f t="shared" si="2"/>
        <v>11</v>
      </c>
      <c r="B40" s="2">
        <f t="shared" si="11"/>
        <v>0</v>
      </c>
      <c r="C40" s="2">
        <f t="shared" si="4"/>
        <v>7922059.2000000002</v>
      </c>
      <c r="D40" s="2">
        <f t="shared" si="5"/>
        <v>12.67529472</v>
      </c>
      <c r="E40" s="2">
        <f t="shared" si="8"/>
        <v>7698.24</v>
      </c>
      <c r="F40" s="2">
        <f t="shared" si="8"/>
        <v>-6.1585920000000003E-4</v>
      </c>
      <c r="G40" s="20"/>
      <c r="H40" s="2">
        <f t="shared" si="9"/>
        <v>-0.63376473600000005</v>
      </c>
      <c r="I40" s="2">
        <f t="shared" si="1"/>
        <v>-0.91146742590909102</v>
      </c>
      <c r="J40" s="2">
        <f t="shared" si="10"/>
        <v>12.0409141248</v>
      </c>
      <c r="K40" s="2">
        <f t="shared" si="0"/>
        <v>1.7103393581163138</v>
      </c>
      <c r="L40" s="2">
        <f t="shared" si="6"/>
        <v>7.0400731104389065</v>
      </c>
      <c r="M40" s="2">
        <f t="shared" si="7"/>
        <v>85.433341472676403</v>
      </c>
    </row>
    <row r="41" spans="1:13" x14ac:dyDescent="0.25">
      <c r="A41" s="2">
        <f t="shared" si="2"/>
        <v>12</v>
      </c>
      <c r="B41" s="2">
        <f t="shared" si="11"/>
        <v>0</v>
      </c>
      <c r="C41" s="2">
        <f t="shared" si="4"/>
        <v>7922059.2000000002</v>
      </c>
      <c r="D41" s="2">
        <f t="shared" si="5"/>
        <v>12.67529472</v>
      </c>
      <c r="E41" s="2">
        <f t="shared" si="8"/>
        <v>7698.24</v>
      </c>
      <c r="F41" s="2">
        <f t="shared" si="8"/>
        <v>-6.1585920000000003E-4</v>
      </c>
      <c r="G41" s="20"/>
      <c r="H41" s="2">
        <f t="shared" si="9"/>
        <v>-0.63376473600000005</v>
      </c>
      <c r="I41" s="2">
        <f t="shared" si="1"/>
        <v>-0.91146742590909102</v>
      </c>
      <c r="J41" s="2">
        <f t="shared" si="10"/>
        <v>12.0409141248</v>
      </c>
      <c r="K41" s="2">
        <f t="shared" si="0"/>
        <v>1.7958563260221292</v>
      </c>
      <c r="L41" s="2">
        <f t="shared" si="6"/>
        <v>6.7048315337513404</v>
      </c>
      <c r="M41" s="2">
        <f t="shared" si="7"/>
        <v>92.138173006427749</v>
      </c>
    </row>
    <row r="42" spans="1:13" x14ac:dyDescent="0.25">
      <c r="A42" s="2">
        <f t="shared" si="2"/>
        <v>13</v>
      </c>
      <c r="B42" s="2">
        <f t="shared" si="11"/>
        <v>0</v>
      </c>
      <c r="C42" s="2">
        <f t="shared" si="4"/>
        <v>7922059.2000000002</v>
      </c>
      <c r="D42" s="2">
        <f t="shared" si="5"/>
        <v>12.67529472</v>
      </c>
      <c r="E42" s="2">
        <f t="shared" si="8"/>
        <v>7698.24</v>
      </c>
      <c r="F42" s="2">
        <f t="shared" si="8"/>
        <v>-6.1585920000000003E-4</v>
      </c>
      <c r="G42" s="20"/>
      <c r="H42" s="2">
        <f t="shared" si="9"/>
        <v>-0.63376473600000005</v>
      </c>
      <c r="I42" s="2">
        <f t="shared" si="1"/>
        <v>-0.91146742590909102</v>
      </c>
      <c r="J42" s="2">
        <f t="shared" si="10"/>
        <v>12.0409141248</v>
      </c>
      <c r="K42" s="2">
        <f t="shared" si="0"/>
        <v>1.885649142323236</v>
      </c>
      <c r="L42" s="2">
        <f t="shared" si="6"/>
        <v>6.3855538416679423</v>
      </c>
      <c r="M42" s="2">
        <f t="shared" si="7"/>
        <v>98.523726848095691</v>
      </c>
    </row>
    <row r="43" spans="1:13" x14ac:dyDescent="0.25">
      <c r="A43" s="2">
        <f t="shared" si="2"/>
        <v>14</v>
      </c>
      <c r="B43" s="2">
        <f t="shared" si="11"/>
        <v>0</v>
      </c>
      <c r="C43" s="2">
        <f t="shared" si="4"/>
        <v>7922059.2000000002</v>
      </c>
      <c r="D43" s="2">
        <f t="shared" si="5"/>
        <v>12.67529472</v>
      </c>
      <c r="E43" s="2">
        <f t="shared" si="8"/>
        <v>7698.24</v>
      </c>
      <c r="F43" s="2">
        <f t="shared" si="8"/>
        <v>-6.1585920000000003E-4</v>
      </c>
      <c r="G43" s="20"/>
      <c r="H43" s="2">
        <f t="shared" si="9"/>
        <v>-0.63376473600000005</v>
      </c>
      <c r="I43" s="2">
        <f t="shared" si="1"/>
        <v>-0.91146742590909102</v>
      </c>
      <c r="J43" s="2">
        <f t="shared" si="10"/>
        <v>12.0409141248</v>
      </c>
      <c r="K43" s="2">
        <f t="shared" si="0"/>
        <v>1.9799315994393973</v>
      </c>
      <c r="L43" s="2">
        <f t="shared" si="6"/>
        <v>6.0814798492075655</v>
      </c>
      <c r="M43" s="2">
        <f t="shared" si="7"/>
        <v>104.60520669730326</v>
      </c>
    </row>
    <row r="44" spans="1:13" x14ac:dyDescent="0.25">
      <c r="A44" s="2">
        <f t="shared" si="2"/>
        <v>15</v>
      </c>
      <c r="B44" s="2">
        <f t="shared" si="11"/>
        <v>0</v>
      </c>
      <c r="C44" s="2">
        <f t="shared" si="4"/>
        <v>7922059.2000000002</v>
      </c>
      <c r="D44" s="2">
        <f t="shared" si="5"/>
        <v>12.67529472</v>
      </c>
      <c r="E44" s="2">
        <f t="shared" si="8"/>
        <v>7698.24</v>
      </c>
      <c r="F44" s="2">
        <f t="shared" si="8"/>
        <v>-6.1585920000000003E-4</v>
      </c>
      <c r="G44" s="20"/>
      <c r="H44" s="2">
        <f t="shared" si="9"/>
        <v>-0.63376473600000005</v>
      </c>
      <c r="I44" s="2">
        <f t="shared" si="1"/>
        <v>-0.91146742590909102</v>
      </c>
      <c r="J44" s="2">
        <f t="shared" si="10"/>
        <v>12.0409141248</v>
      </c>
      <c r="K44" s="2">
        <f t="shared" si="0"/>
        <v>2.0789281794113679</v>
      </c>
      <c r="L44" s="2">
        <f t="shared" si="6"/>
        <v>5.7918855706738706</v>
      </c>
      <c r="M44" s="2">
        <f t="shared" si="7"/>
        <v>110.39709226797713</v>
      </c>
    </row>
    <row r="45" spans="1:13" x14ac:dyDescent="0.25">
      <c r="A45" s="2">
        <f t="shared" si="2"/>
        <v>16</v>
      </c>
      <c r="B45" s="2">
        <f t="shared" si="11"/>
        <v>0</v>
      </c>
      <c r="C45" s="2">
        <f t="shared" si="4"/>
        <v>7922059.2000000002</v>
      </c>
      <c r="D45" s="2">
        <f t="shared" si="5"/>
        <v>12.67529472</v>
      </c>
      <c r="E45" s="2">
        <f t="shared" si="8"/>
        <v>7698.24</v>
      </c>
      <c r="F45" s="2">
        <f t="shared" si="8"/>
        <v>-6.1585920000000003E-4</v>
      </c>
      <c r="G45" s="20"/>
      <c r="H45" s="2">
        <f t="shared" si="9"/>
        <v>-0.63376473600000005</v>
      </c>
      <c r="I45" s="2">
        <f t="shared" si="1"/>
        <v>-0.91146742590909102</v>
      </c>
      <c r="J45" s="2">
        <f t="shared" si="10"/>
        <v>12.0409141248</v>
      </c>
      <c r="K45" s="2">
        <f t="shared" si="0"/>
        <v>2.182874588381936</v>
      </c>
      <c r="L45" s="2">
        <f t="shared" si="6"/>
        <v>5.5160814958798774</v>
      </c>
      <c r="M45" s="2">
        <f t="shared" si="7"/>
        <v>115.913173763857</v>
      </c>
    </row>
    <row r="46" spans="1:13" x14ac:dyDescent="0.25">
      <c r="A46" s="2">
        <f t="shared" si="2"/>
        <v>17</v>
      </c>
      <c r="B46" s="2">
        <f t="shared" si="11"/>
        <v>0</v>
      </c>
      <c r="C46" s="2">
        <f t="shared" si="4"/>
        <v>7922059.2000000002</v>
      </c>
      <c r="D46" s="2">
        <f t="shared" si="5"/>
        <v>12.67529472</v>
      </c>
      <c r="E46" s="2">
        <f t="shared" si="8"/>
        <v>7698.24</v>
      </c>
      <c r="F46" s="2">
        <f t="shared" si="8"/>
        <v>-6.1585920000000003E-4</v>
      </c>
      <c r="G46" s="20"/>
      <c r="H46" s="2">
        <f t="shared" si="9"/>
        <v>-0.63376473600000005</v>
      </c>
      <c r="I46" s="2">
        <f t="shared" si="1"/>
        <v>-0.91146742590909102</v>
      </c>
      <c r="J46" s="2">
        <f t="shared" si="10"/>
        <v>12.0409141248</v>
      </c>
      <c r="K46" s="2">
        <f t="shared" si="0"/>
        <v>2.2920183178010332</v>
      </c>
      <c r="L46" s="2">
        <f t="shared" si="6"/>
        <v>5.2534109484570246</v>
      </c>
      <c r="M46" s="2">
        <f t="shared" si="7"/>
        <v>121.16658471231403</v>
      </c>
    </row>
    <row r="47" spans="1:13" x14ac:dyDescent="0.25">
      <c r="A47" s="2">
        <f>A46+1</f>
        <v>18</v>
      </c>
      <c r="B47" s="2">
        <f t="shared" si="11"/>
        <v>0</v>
      </c>
      <c r="C47" s="2">
        <f t="shared" si="4"/>
        <v>7922059.2000000002</v>
      </c>
      <c r="D47" s="2">
        <f t="shared" si="5"/>
        <v>12.67529472</v>
      </c>
      <c r="E47" s="2">
        <f t="shared" si="8"/>
        <v>7698.24</v>
      </c>
      <c r="F47" s="2">
        <f t="shared" si="8"/>
        <v>-6.1585920000000003E-4</v>
      </c>
      <c r="G47" s="20"/>
      <c r="H47" s="2">
        <f t="shared" si="9"/>
        <v>-0.63376473600000005</v>
      </c>
      <c r="I47" s="2">
        <f t="shared" si="1"/>
        <v>-0.91146742590909102</v>
      </c>
      <c r="J47" s="2">
        <f t="shared" si="10"/>
        <v>12.0409141248</v>
      </c>
      <c r="K47" s="2">
        <f t="shared" si="0"/>
        <v>2.4066192336910848</v>
      </c>
      <c r="L47" s="2">
        <f t="shared" si="6"/>
        <v>5.0032485223400238</v>
      </c>
      <c r="M47" s="2">
        <f t="shared" si="7"/>
        <v>126.16983323465406</v>
      </c>
    </row>
    <row r="48" spans="1:13" x14ac:dyDescent="0.25">
      <c r="A48" s="2">
        <f>A47+1</f>
        <v>19</v>
      </c>
      <c r="B48" s="2">
        <f t="shared" si="11"/>
        <v>0</v>
      </c>
      <c r="C48" s="2">
        <f t="shared" si="4"/>
        <v>7922059.2000000002</v>
      </c>
      <c r="D48" s="2">
        <f t="shared" si="5"/>
        <v>12.67529472</v>
      </c>
      <c r="E48" s="2">
        <f t="shared" si="8"/>
        <v>7698.24</v>
      </c>
      <c r="F48" s="2">
        <f t="shared" si="8"/>
        <v>-6.1585920000000003E-4</v>
      </c>
      <c r="G48" s="20"/>
      <c r="H48" s="2">
        <f t="shared" si="9"/>
        <v>-0.63376473600000005</v>
      </c>
      <c r="I48" s="2">
        <f t="shared" si="1"/>
        <v>-0.91146742590909102</v>
      </c>
      <c r="J48" s="2">
        <f t="shared" si="10"/>
        <v>12.0409141248</v>
      </c>
      <c r="K48" s="2">
        <f t="shared" si="0"/>
        <v>2.526950195375639</v>
      </c>
      <c r="L48" s="2">
        <f t="shared" si="6"/>
        <v>4.7649985927047842</v>
      </c>
      <c r="M48" s="2">
        <f t="shared" si="7"/>
        <v>130.93483182735883</v>
      </c>
    </row>
    <row r="49" spans="1:19" x14ac:dyDescent="0.25">
      <c r="A49" s="2">
        <f t="shared" si="2"/>
        <v>20</v>
      </c>
      <c r="B49" s="2">
        <f t="shared" si="11"/>
        <v>0</v>
      </c>
      <c r="C49" s="2">
        <f t="shared" si="4"/>
        <v>7922059.2000000002</v>
      </c>
      <c r="D49" s="2">
        <f t="shared" si="5"/>
        <v>12.67529472</v>
      </c>
      <c r="E49" s="2">
        <f t="shared" si="8"/>
        <v>7698.24</v>
      </c>
      <c r="F49" s="2">
        <f t="shared" si="8"/>
        <v>-6.1585920000000003E-4</v>
      </c>
      <c r="G49" s="20"/>
      <c r="H49" s="2">
        <f t="shared" si="9"/>
        <v>-0.63376473600000005</v>
      </c>
      <c r="I49" s="2">
        <f t="shared" si="1"/>
        <v>-0.91146742590909102</v>
      </c>
      <c r="J49" s="2">
        <f t="shared" si="10"/>
        <v>12.0409141248</v>
      </c>
      <c r="K49" s="2">
        <f t="shared" si="0"/>
        <v>2.6532977051444209</v>
      </c>
      <c r="L49" s="2">
        <f t="shared" si="6"/>
        <v>4.5380938978140808</v>
      </c>
      <c r="M49" s="2">
        <f t="shared" si="7"/>
        <v>135.47292572517293</v>
      </c>
    </row>
    <row r="50" spans="1:19" x14ac:dyDescent="0.25">
      <c r="A50" s="2">
        <f t="shared" si="2"/>
        <v>21</v>
      </c>
      <c r="B50" s="2">
        <f t="shared" si="11"/>
        <v>0</v>
      </c>
      <c r="C50" s="2">
        <f t="shared" si="4"/>
        <v>7922059.2000000002</v>
      </c>
      <c r="D50" s="2">
        <f t="shared" si="5"/>
        <v>12.67529472</v>
      </c>
      <c r="E50" s="2">
        <f t="shared" si="8"/>
        <v>7698.24</v>
      </c>
      <c r="F50" s="2">
        <f t="shared" si="8"/>
        <v>-6.1585920000000003E-4</v>
      </c>
      <c r="G50" s="20"/>
      <c r="H50" s="2">
        <f t="shared" si="9"/>
        <v>-0.63376473600000005</v>
      </c>
      <c r="I50" s="2">
        <f t="shared" si="1"/>
        <v>-0.91146742590909102</v>
      </c>
      <c r="J50" s="2">
        <f t="shared" si="10"/>
        <v>12.0409141248</v>
      </c>
      <c r="K50" s="2">
        <f t="shared" si="0"/>
        <v>2.7859625904016418</v>
      </c>
      <c r="L50" s="2">
        <f t="shared" si="6"/>
        <v>4.3219941883943624</v>
      </c>
      <c r="M50" s="2">
        <f t="shared" si="7"/>
        <v>139.7949199135673</v>
      </c>
    </row>
    <row r="51" spans="1:19" x14ac:dyDescent="0.25">
      <c r="A51" s="2">
        <f t="shared" si="2"/>
        <v>22</v>
      </c>
      <c r="B51" s="2">
        <f t="shared" si="11"/>
        <v>0</v>
      </c>
      <c r="C51" s="2">
        <f t="shared" si="4"/>
        <v>7922059.2000000002</v>
      </c>
      <c r="D51" s="2">
        <f t="shared" si="5"/>
        <v>12.67529472</v>
      </c>
      <c r="E51" s="2">
        <f t="shared" si="8"/>
        <v>7698.24</v>
      </c>
      <c r="F51" s="2">
        <f t="shared" si="8"/>
        <v>-6.1585920000000003E-4</v>
      </c>
      <c r="G51" s="20"/>
      <c r="H51" s="2">
        <f t="shared" si="9"/>
        <v>-0.63376473600000005</v>
      </c>
      <c r="I51" s="2">
        <f t="shared" si="1"/>
        <v>-0.91146742590909102</v>
      </c>
      <c r="J51" s="2">
        <f t="shared" si="10"/>
        <v>12.0409141248</v>
      </c>
      <c r="K51" s="2">
        <f t="shared" si="0"/>
        <v>2.9252607199217238</v>
      </c>
      <c r="L51" s="2">
        <f t="shared" si="6"/>
        <v>4.1161849413279645</v>
      </c>
      <c r="M51" s="2">
        <f t="shared" si="7"/>
        <v>143.91110485489526</v>
      </c>
    </row>
    <row r="52" spans="1:19" x14ac:dyDescent="0.25">
      <c r="A52" s="2">
        <f t="shared" si="2"/>
        <v>23</v>
      </c>
      <c r="B52" s="2">
        <f t="shared" si="11"/>
        <v>0</v>
      </c>
      <c r="C52" s="2">
        <f t="shared" si="4"/>
        <v>7922059.2000000002</v>
      </c>
      <c r="D52" s="2">
        <f t="shared" si="5"/>
        <v>12.67529472</v>
      </c>
      <c r="E52" s="2">
        <f t="shared" si="8"/>
        <v>7698.24</v>
      </c>
      <c r="F52" s="2">
        <f t="shared" si="8"/>
        <v>-6.1585920000000003E-4</v>
      </c>
      <c r="G52" s="20"/>
      <c r="H52" s="2">
        <f t="shared" si="9"/>
        <v>-0.63376473600000005</v>
      </c>
      <c r="I52" s="2">
        <f t="shared" si="1"/>
        <v>-0.91146742590909102</v>
      </c>
      <c r="J52" s="2">
        <f t="shared" si="10"/>
        <v>12.0409141248</v>
      </c>
      <c r="K52" s="2">
        <f t="shared" si="0"/>
        <v>3.0715237559178106</v>
      </c>
      <c r="L52" s="2">
        <f t="shared" si="6"/>
        <v>3.9201761345980608</v>
      </c>
      <c r="M52" s="2">
        <f t="shared" si="7"/>
        <v>147.83128098949331</v>
      </c>
    </row>
    <row r="53" spans="1:19" x14ac:dyDescent="0.25">
      <c r="A53" s="2">
        <f t="shared" si="2"/>
        <v>24</v>
      </c>
      <c r="B53" s="2">
        <f t="shared" si="11"/>
        <v>0</v>
      </c>
      <c r="C53" s="2">
        <f t="shared" si="4"/>
        <v>7922059.2000000002</v>
      </c>
      <c r="D53" s="2">
        <f t="shared" si="5"/>
        <v>12.67529472</v>
      </c>
      <c r="E53" s="2">
        <f t="shared" si="8"/>
        <v>7698.24</v>
      </c>
      <c r="F53" s="2">
        <f t="shared" si="8"/>
        <v>-6.1585920000000003E-4</v>
      </c>
      <c r="G53" s="20"/>
      <c r="H53" s="2">
        <f t="shared" si="9"/>
        <v>-0.63376473600000005</v>
      </c>
      <c r="I53" s="2">
        <f t="shared" si="1"/>
        <v>-0.91146742590909102</v>
      </c>
      <c r="J53" s="2">
        <f t="shared" si="10"/>
        <v>12.0409141248</v>
      </c>
      <c r="K53" s="2">
        <f t="shared" si="0"/>
        <v>3.2250999437137007</v>
      </c>
      <c r="L53" s="2">
        <f t="shared" si="6"/>
        <v>3.7335010805695821</v>
      </c>
      <c r="M53" s="2">
        <f t="shared" si="7"/>
        <v>151.5647820700629</v>
      </c>
    </row>
    <row r="54" spans="1:19" x14ac:dyDescent="0.25">
      <c r="A54" s="2">
        <f t="shared" si="2"/>
        <v>25</v>
      </c>
      <c r="B54" s="2">
        <f t="shared" si="11"/>
        <v>0</v>
      </c>
      <c r="C54" s="2">
        <f t="shared" si="4"/>
        <v>7922059.2000000002</v>
      </c>
      <c r="D54" s="2">
        <f t="shared" si="5"/>
        <v>12.67529472</v>
      </c>
      <c r="E54" s="2">
        <f t="shared" si="8"/>
        <v>7698.24</v>
      </c>
      <c r="F54" s="2">
        <f t="shared" si="8"/>
        <v>-6.1585920000000003E-4</v>
      </c>
      <c r="G54" s="20"/>
      <c r="H54" s="2">
        <f t="shared" si="9"/>
        <v>-0.63376473600000005</v>
      </c>
      <c r="I54" s="2">
        <f t="shared" si="1"/>
        <v>-0.91146742590909102</v>
      </c>
      <c r="J54" s="2">
        <f t="shared" si="10"/>
        <v>12.0409141248</v>
      </c>
      <c r="K54" s="2">
        <f t="shared" si="0"/>
        <v>3.3863549408993858</v>
      </c>
      <c r="L54" s="2">
        <f t="shared" si="6"/>
        <v>3.5557153148281735</v>
      </c>
      <c r="M54" s="2">
        <f t="shared" si="7"/>
        <v>155.12049738489108</v>
      </c>
    </row>
    <row r="55" spans="1:19" ht="15.75" customHeight="1" x14ac:dyDescent="0.25">
      <c r="A55" s="2">
        <f t="shared" si="2"/>
        <v>26</v>
      </c>
      <c r="B55" s="2">
        <f t="shared" si="11"/>
        <v>0</v>
      </c>
      <c r="C55" s="2">
        <f t="shared" si="4"/>
        <v>7922059.2000000002</v>
      </c>
      <c r="D55" s="2">
        <f t="shared" ref="D55:D64" si="12">C55*$B$15/1000000</f>
        <v>12.67529472</v>
      </c>
      <c r="E55" s="2">
        <f t="shared" ref="E55:F55" si="13">E54</f>
        <v>7698.24</v>
      </c>
      <c r="F55" s="2">
        <f t="shared" si="13"/>
        <v>-6.1585920000000003E-4</v>
      </c>
      <c r="G55" s="20"/>
      <c r="H55" s="2">
        <f t="shared" si="9"/>
        <v>-0.63376473600000005</v>
      </c>
      <c r="I55" s="2">
        <f t="shared" si="1"/>
        <v>-0.91146742590909102</v>
      </c>
      <c r="J55" s="2">
        <f t="shared" si="10"/>
        <v>12.0409141248</v>
      </c>
      <c r="K55" s="2">
        <f t="shared" ref="K55:K64" si="14">(1+$B$16)^A55</f>
        <v>3.5556726879443552</v>
      </c>
      <c r="L55" s="2">
        <f t="shared" ref="L55:L64" si="15">J55/K55</f>
        <v>3.3863955379315938</v>
      </c>
      <c r="M55" s="2">
        <f t="shared" ref="M55:M64" si="16">M54+L55</f>
        <v>158.50689292282269</v>
      </c>
      <c r="N55" s="3"/>
      <c r="O55" s="3"/>
      <c r="P55" s="3"/>
      <c r="Q55" s="3"/>
      <c r="R55" s="3"/>
      <c r="S55" s="3"/>
    </row>
    <row r="56" spans="1:19" ht="20.25" customHeight="1" x14ac:dyDescent="0.25">
      <c r="A56" s="2">
        <f t="shared" si="2"/>
        <v>27</v>
      </c>
      <c r="B56" s="2">
        <f t="shared" si="11"/>
        <v>0</v>
      </c>
      <c r="C56" s="2">
        <f t="shared" si="4"/>
        <v>7922059.2000000002</v>
      </c>
      <c r="D56" s="2">
        <f t="shared" si="12"/>
        <v>12.67529472</v>
      </c>
      <c r="E56" s="2">
        <f t="shared" ref="E56:F56" si="17">E55</f>
        <v>7698.24</v>
      </c>
      <c r="F56" s="2">
        <f t="shared" si="17"/>
        <v>-6.1585920000000003E-4</v>
      </c>
      <c r="G56" s="20"/>
      <c r="H56" s="2">
        <f t="shared" si="9"/>
        <v>-0.63376473600000005</v>
      </c>
      <c r="I56" s="2">
        <f t="shared" si="1"/>
        <v>-0.91146742590909102</v>
      </c>
      <c r="J56" s="2">
        <f t="shared" si="10"/>
        <v>12.0409141248</v>
      </c>
      <c r="K56" s="2">
        <f t="shared" si="14"/>
        <v>3.7334563223415733</v>
      </c>
      <c r="L56" s="2">
        <f t="shared" si="15"/>
        <v>3.2251386075538986</v>
      </c>
      <c r="M56" s="2">
        <f t="shared" si="16"/>
        <v>161.73203153037659</v>
      </c>
    </row>
    <row r="57" spans="1:19" ht="18" customHeight="1" x14ac:dyDescent="0.25">
      <c r="A57" s="2">
        <f t="shared" si="2"/>
        <v>28</v>
      </c>
      <c r="B57" s="2">
        <f t="shared" si="11"/>
        <v>0</v>
      </c>
      <c r="C57" s="2">
        <f t="shared" si="4"/>
        <v>7922059.2000000002</v>
      </c>
      <c r="D57" s="2">
        <f t="shared" si="12"/>
        <v>12.67529472</v>
      </c>
      <c r="E57" s="2">
        <f t="shared" ref="E57:F57" si="18">E56</f>
        <v>7698.24</v>
      </c>
      <c r="F57" s="2">
        <f t="shared" si="18"/>
        <v>-6.1585920000000003E-4</v>
      </c>
      <c r="G57" s="20"/>
      <c r="H57" s="2">
        <f t="shared" si="9"/>
        <v>-0.63376473600000005</v>
      </c>
      <c r="I57" s="2">
        <f t="shared" si="1"/>
        <v>-0.91146742590909102</v>
      </c>
      <c r="J57" s="2">
        <f t="shared" si="10"/>
        <v>12.0409141248</v>
      </c>
      <c r="K57" s="2">
        <f t="shared" si="14"/>
        <v>3.9201291384586514</v>
      </c>
      <c r="L57" s="2">
        <f t="shared" si="15"/>
        <v>3.0715605786227611</v>
      </c>
      <c r="M57" s="2">
        <f t="shared" si="16"/>
        <v>164.80359210899934</v>
      </c>
    </row>
    <row r="58" spans="1:19" ht="17.25" customHeight="1" x14ac:dyDescent="0.25">
      <c r="A58" s="2">
        <f t="shared" si="2"/>
        <v>29</v>
      </c>
      <c r="B58" s="2">
        <f t="shared" si="11"/>
        <v>0</v>
      </c>
      <c r="C58" s="2">
        <f t="shared" si="4"/>
        <v>7922059.2000000002</v>
      </c>
      <c r="D58" s="2">
        <f t="shared" si="12"/>
        <v>12.67529472</v>
      </c>
      <c r="E58" s="2">
        <f t="shared" ref="E58:F58" si="19">E57</f>
        <v>7698.24</v>
      </c>
      <c r="F58" s="2">
        <f t="shared" si="19"/>
        <v>-6.1585920000000003E-4</v>
      </c>
      <c r="G58" s="20"/>
      <c r="H58" s="2">
        <f t="shared" si="9"/>
        <v>-0.63376473600000005</v>
      </c>
      <c r="I58" s="2">
        <f t="shared" si="1"/>
        <v>-0.91146742590909102</v>
      </c>
      <c r="J58" s="2">
        <f t="shared" si="10"/>
        <v>12.0409141248</v>
      </c>
      <c r="K58" s="2">
        <f t="shared" si="14"/>
        <v>4.1161355953815848</v>
      </c>
      <c r="L58" s="2">
        <f t="shared" si="15"/>
        <v>2.9252957891645335</v>
      </c>
      <c r="M58" s="2">
        <f t="shared" si="16"/>
        <v>167.72888789816386</v>
      </c>
    </row>
    <row r="59" spans="1:19" ht="18" customHeight="1" x14ac:dyDescent="0.25">
      <c r="A59" s="2">
        <f t="shared" si="2"/>
        <v>30</v>
      </c>
      <c r="B59" s="2">
        <f t="shared" si="11"/>
        <v>0</v>
      </c>
      <c r="C59" s="2">
        <f t="shared" si="4"/>
        <v>7922059.2000000002</v>
      </c>
      <c r="D59" s="2">
        <f t="shared" si="12"/>
        <v>12.67529472</v>
      </c>
      <c r="E59" s="2">
        <f t="shared" ref="E59:F59" si="20">E58</f>
        <v>7698.24</v>
      </c>
      <c r="F59" s="2">
        <f t="shared" si="20"/>
        <v>-6.1585920000000003E-4</v>
      </c>
      <c r="G59" s="20"/>
      <c r="H59" s="2">
        <f t="shared" si="9"/>
        <v>-0.63376473600000005</v>
      </c>
      <c r="I59" s="2">
        <f t="shared" si="1"/>
        <v>-0.91146742590909102</v>
      </c>
      <c r="J59" s="2">
        <f t="shared" si="10"/>
        <v>12.0409141248</v>
      </c>
      <c r="K59" s="2">
        <f t="shared" si="14"/>
        <v>4.3219423751506625</v>
      </c>
      <c r="L59" s="2">
        <f t="shared" si="15"/>
        <v>2.7859959896805093</v>
      </c>
      <c r="M59" s="2">
        <f t="shared" si="16"/>
        <v>170.51488388784438</v>
      </c>
    </row>
    <row r="60" spans="1:19" ht="20.25" customHeight="1" x14ac:dyDescent="0.25">
      <c r="A60" s="2">
        <f t="shared" si="2"/>
        <v>31</v>
      </c>
      <c r="B60" s="2">
        <f t="shared" si="11"/>
        <v>0</v>
      </c>
      <c r="C60" s="2">
        <f t="shared" si="4"/>
        <v>7922059.2000000002</v>
      </c>
      <c r="D60" s="2">
        <f t="shared" si="12"/>
        <v>12.67529472</v>
      </c>
      <c r="E60" s="2">
        <f t="shared" ref="E60:F60" si="21">E59</f>
        <v>7698.24</v>
      </c>
      <c r="F60" s="2">
        <f t="shared" si="21"/>
        <v>-6.1585920000000003E-4</v>
      </c>
      <c r="G60" s="20"/>
      <c r="H60" s="2">
        <f t="shared" si="9"/>
        <v>-0.63376473600000005</v>
      </c>
      <c r="I60" s="2">
        <f t="shared" si="1"/>
        <v>-0.91146742590909102</v>
      </c>
      <c r="J60" s="2">
        <f t="shared" si="10"/>
        <v>12.0409141248</v>
      </c>
      <c r="K60" s="2">
        <f t="shared" si="14"/>
        <v>4.5380394939081974</v>
      </c>
      <c r="L60" s="2">
        <f t="shared" si="15"/>
        <v>2.6533295139814363</v>
      </c>
      <c r="M60" s="2">
        <f t="shared" si="16"/>
        <v>173.16821340182582</v>
      </c>
    </row>
    <row r="61" spans="1:19" ht="18" customHeight="1" x14ac:dyDescent="0.25">
      <c r="A61" s="2">
        <f t="shared" si="2"/>
        <v>32</v>
      </c>
      <c r="B61" s="2">
        <f t="shared" si="11"/>
        <v>0</v>
      </c>
      <c r="C61" s="2">
        <f t="shared" si="4"/>
        <v>7922059.2000000002</v>
      </c>
      <c r="D61" s="2">
        <f t="shared" si="12"/>
        <v>12.67529472</v>
      </c>
      <c r="E61" s="2">
        <f t="shared" ref="E61:F61" si="22">E60</f>
        <v>7698.24</v>
      </c>
      <c r="F61" s="2">
        <f t="shared" si="22"/>
        <v>-6.1585920000000003E-4</v>
      </c>
      <c r="G61" s="20"/>
      <c r="H61" s="2">
        <f t="shared" si="9"/>
        <v>-0.63376473600000005</v>
      </c>
      <c r="I61" s="2">
        <f t="shared" si="1"/>
        <v>-0.91146742590909102</v>
      </c>
      <c r="J61" s="2">
        <f t="shared" si="10"/>
        <v>12.0409141248</v>
      </c>
      <c r="K61" s="2">
        <f t="shared" si="14"/>
        <v>4.7649414686036069</v>
      </c>
      <c r="L61" s="2">
        <f t="shared" si="15"/>
        <v>2.5269804895061299</v>
      </c>
      <c r="M61" s="2">
        <f t="shared" si="16"/>
        <v>175.69519389133194</v>
      </c>
    </row>
    <row r="62" spans="1:19" ht="15" customHeight="1" x14ac:dyDescent="0.25">
      <c r="A62" s="2">
        <f t="shared" si="2"/>
        <v>33</v>
      </c>
      <c r="B62" s="2">
        <f t="shared" si="11"/>
        <v>0</v>
      </c>
      <c r="C62" s="2">
        <f t="shared" si="4"/>
        <v>7922059.2000000002</v>
      </c>
      <c r="D62" s="2">
        <f t="shared" si="12"/>
        <v>12.67529472</v>
      </c>
      <c r="E62" s="2">
        <f t="shared" ref="E62:F62" si="23">E61</f>
        <v>7698.24</v>
      </c>
      <c r="F62" s="2">
        <f t="shared" si="23"/>
        <v>-6.1585920000000003E-4</v>
      </c>
      <c r="G62" s="20"/>
      <c r="H62" s="2">
        <f t="shared" si="9"/>
        <v>-0.63376473600000005</v>
      </c>
      <c r="I62" s="2">
        <f t="shared" si="1"/>
        <v>-0.91146742590909102</v>
      </c>
      <c r="J62" s="2">
        <f t="shared" si="10"/>
        <v>12.0409141248</v>
      </c>
      <c r="K62" s="2">
        <f t="shared" si="14"/>
        <v>5.0031885420337874</v>
      </c>
      <c r="L62" s="2">
        <f t="shared" si="15"/>
        <v>2.4066480852439334</v>
      </c>
      <c r="M62" s="2">
        <f t="shared" si="16"/>
        <v>178.10184197657588</v>
      </c>
    </row>
    <row r="63" spans="1:19" ht="19.5" customHeight="1" x14ac:dyDescent="0.25">
      <c r="A63" s="2">
        <f t="shared" si="2"/>
        <v>34</v>
      </c>
      <c r="B63" s="2">
        <f t="shared" si="11"/>
        <v>0</v>
      </c>
      <c r="C63" s="2">
        <f t="shared" si="4"/>
        <v>7922059.2000000002</v>
      </c>
      <c r="D63" s="2">
        <f t="shared" si="12"/>
        <v>12.67529472</v>
      </c>
      <c r="E63" s="2">
        <f t="shared" ref="E63:F63" si="24">E62</f>
        <v>7698.24</v>
      </c>
      <c r="F63" s="2">
        <f t="shared" si="24"/>
        <v>-6.1585920000000003E-4</v>
      </c>
      <c r="G63" s="20"/>
      <c r="H63" s="2">
        <f t="shared" si="9"/>
        <v>-0.63376473600000005</v>
      </c>
      <c r="I63" s="2">
        <f t="shared" si="1"/>
        <v>-0.91146742590909102</v>
      </c>
      <c r="J63" s="2">
        <f t="shared" si="10"/>
        <v>12.0409141248</v>
      </c>
      <c r="K63" s="2">
        <f t="shared" si="14"/>
        <v>5.2533479691354765</v>
      </c>
      <c r="L63" s="2">
        <f t="shared" si="15"/>
        <v>2.2920457954704125</v>
      </c>
      <c r="M63" s="2">
        <f t="shared" si="16"/>
        <v>180.3938877720463</v>
      </c>
    </row>
    <row r="64" spans="1:19" ht="15.75" customHeight="1" x14ac:dyDescent="0.25">
      <c r="A64" s="2">
        <f t="shared" si="2"/>
        <v>35</v>
      </c>
      <c r="B64" s="2">
        <f t="shared" si="11"/>
        <v>0</v>
      </c>
      <c r="C64" s="2">
        <f t="shared" si="4"/>
        <v>7922059.2000000002</v>
      </c>
      <c r="D64" s="2">
        <f t="shared" si="12"/>
        <v>12.67529472</v>
      </c>
      <c r="E64" s="2">
        <f t="shared" ref="E64:F64" si="25">E63</f>
        <v>7698.24</v>
      </c>
      <c r="F64" s="2">
        <f t="shared" si="25"/>
        <v>-6.1585920000000003E-4</v>
      </c>
      <c r="G64" s="20"/>
      <c r="H64" s="2">
        <f t="shared" si="9"/>
        <v>-0.63376473600000005</v>
      </c>
      <c r="I64" s="2">
        <f t="shared" si="1"/>
        <v>-0.91146742590909102</v>
      </c>
      <c r="J64" s="2">
        <f t="shared" si="10"/>
        <v>12.0409141248</v>
      </c>
      <c r="K64" s="2">
        <f t="shared" si="14"/>
        <v>5.5160153675922512</v>
      </c>
      <c r="L64" s="2">
        <f t="shared" si="15"/>
        <v>2.1829007575908688</v>
      </c>
      <c r="M64" s="2">
        <f t="shared" si="16"/>
        <v>182.57678852963716</v>
      </c>
    </row>
  </sheetData>
  <mergeCells count="4">
    <mergeCell ref="D1:I3"/>
    <mergeCell ref="D14:I14"/>
    <mergeCell ref="F17:H17"/>
    <mergeCell ref="F19:I1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Q48"/>
  <sheetViews>
    <sheetView topLeftCell="A22" workbookViewId="0">
      <selection activeCell="K8" sqref="K8"/>
    </sheetView>
  </sheetViews>
  <sheetFormatPr defaultRowHeight="15" x14ac:dyDescent="0.25"/>
  <cols>
    <col min="3" max="3" width="14.140625" bestFit="1" customWidth="1"/>
    <col min="4" max="4" width="13.7109375" bestFit="1" customWidth="1"/>
    <col min="5" max="5" width="14.140625" bestFit="1" customWidth="1"/>
    <col min="6" max="6" width="12.28515625" bestFit="1" customWidth="1"/>
    <col min="7" max="7" width="12" bestFit="1" customWidth="1"/>
    <col min="9" max="9" width="13.7109375" bestFit="1" customWidth="1"/>
  </cols>
  <sheetData>
    <row r="6" spans="3:7" ht="15.75" x14ac:dyDescent="0.25">
      <c r="C6" s="32"/>
      <c r="D6" s="33" t="s">
        <v>22</v>
      </c>
      <c r="E6" s="33" t="s">
        <v>23</v>
      </c>
      <c r="F6" s="33" t="s">
        <v>35</v>
      </c>
      <c r="G6" s="33" t="s">
        <v>43</v>
      </c>
    </row>
    <row r="7" spans="3:7" ht="15.75" x14ac:dyDescent="0.25">
      <c r="C7" s="32" t="s">
        <v>63</v>
      </c>
      <c r="D7" s="34">
        <v>48.678707018396658</v>
      </c>
      <c r="E7" s="34">
        <v>2.1929710750879607</v>
      </c>
      <c r="F7" s="34">
        <v>49.489132000000005</v>
      </c>
      <c r="G7" s="34">
        <v>343.67452777777777</v>
      </c>
    </row>
    <row r="8" spans="3:7" ht="15.75" x14ac:dyDescent="0.25">
      <c r="C8" s="32" t="s">
        <v>62</v>
      </c>
      <c r="D8" s="34">
        <v>105.17277989045506</v>
      </c>
      <c r="E8" s="34">
        <v>1.0002851192154614</v>
      </c>
      <c r="F8" s="34">
        <v>75.877284219780222</v>
      </c>
      <c r="G8" s="34">
        <v>521.13519381717185</v>
      </c>
    </row>
    <row r="9" spans="3:7" ht="15.75" x14ac:dyDescent="0.25">
      <c r="C9" s="32" t="s">
        <v>47</v>
      </c>
      <c r="D9" s="34">
        <v>116.75280256181989</v>
      </c>
      <c r="E9" s="34">
        <v>0.82996222255651553</v>
      </c>
      <c r="F9" s="34">
        <v>83.180302781542139</v>
      </c>
      <c r="G9" s="34">
        <v>571.01921636698648</v>
      </c>
    </row>
    <row r="10" spans="3:7" ht="15.75" x14ac:dyDescent="0.25">
      <c r="C10" s="32" t="s">
        <v>58</v>
      </c>
      <c r="D10" s="34">
        <v>115.913173763857</v>
      </c>
      <c r="E10" s="34">
        <v>0.8431405114566477</v>
      </c>
      <c r="F10" s="34">
        <v>82.565444623476807</v>
      </c>
      <c r="G10" s="34">
        <v>566.15740094281637</v>
      </c>
    </row>
    <row r="12" spans="3:7" x14ac:dyDescent="0.25">
      <c r="C12" s="30"/>
      <c r="D12" s="30" t="s">
        <v>23</v>
      </c>
    </row>
    <row r="13" spans="3:7" x14ac:dyDescent="0.25">
      <c r="C13" s="30" t="s">
        <v>63</v>
      </c>
      <c r="D13" s="30">
        <v>2.1929710750879607</v>
      </c>
    </row>
    <row r="14" spans="3:7" x14ac:dyDescent="0.25">
      <c r="C14" s="30" t="s">
        <v>62</v>
      </c>
      <c r="D14" s="30">
        <v>1.0002851192154614</v>
      </c>
    </row>
    <row r="15" spans="3:7" x14ac:dyDescent="0.25">
      <c r="C15" s="30" t="s">
        <v>47</v>
      </c>
      <c r="D15" s="30">
        <v>0.82996222255651553</v>
      </c>
    </row>
    <row r="16" spans="3:7" x14ac:dyDescent="0.25">
      <c r="C16" s="30" t="s">
        <v>58</v>
      </c>
      <c r="D16" s="30">
        <v>0.8431405114566477</v>
      </c>
    </row>
    <row r="18" spans="3:6" x14ac:dyDescent="0.25">
      <c r="C18" s="30"/>
      <c r="D18" s="30" t="s">
        <v>35</v>
      </c>
    </row>
    <row r="19" spans="3:6" x14ac:dyDescent="0.25">
      <c r="C19" s="30" t="s">
        <v>63</v>
      </c>
      <c r="D19" s="30">
        <v>49.489132000000005</v>
      </c>
    </row>
    <row r="20" spans="3:6" x14ac:dyDescent="0.25">
      <c r="C20" s="30" t="s">
        <v>62</v>
      </c>
      <c r="D20" s="30">
        <v>75.877284219780222</v>
      </c>
    </row>
    <row r="21" spans="3:6" x14ac:dyDescent="0.25">
      <c r="C21" s="30" t="s">
        <v>47</v>
      </c>
      <c r="D21" s="30">
        <v>83.180302781542139</v>
      </c>
    </row>
    <row r="22" spans="3:6" x14ac:dyDescent="0.25">
      <c r="C22" s="30" t="s">
        <v>58</v>
      </c>
      <c r="D22" s="30">
        <v>82.565444623476807</v>
      </c>
      <c r="E22">
        <v>77.131421508352844</v>
      </c>
      <c r="F22">
        <v>528.89589986870988</v>
      </c>
    </row>
    <row r="24" spans="3:6" x14ac:dyDescent="0.25">
      <c r="C24" s="30"/>
      <c r="D24" s="30" t="s">
        <v>43</v>
      </c>
    </row>
    <row r="25" spans="3:6" x14ac:dyDescent="0.25">
      <c r="C25" s="30" t="s">
        <v>63</v>
      </c>
      <c r="D25" s="30">
        <v>343.67452777777777</v>
      </c>
    </row>
    <row r="26" spans="3:6" x14ac:dyDescent="0.25">
      <c r="C26" s="30" t="s">
        <v>62</v>
      </c>
      <c r="D26" s="30">
        <v>521.13519381717185</v>
      </c>
    </row>
    <row r="27" spans="3:6" x14ac:dyDescent="0.25">
      <c r="C27" s="30" t="s">
        <v>47</v>
      </c>
      <c r="D27" s="30">
        <v>571.01921636698648</v>
      </c>
    </row>
    <row r="28" spans="3:6" x14ac:dyDescent="0.25">
      <c r="C28" s="30" t="s">
        <v>58</v>
      </c>
      <c r="D28" s="30">
        <v>566.15740094281637</v>
      </c>
    </row>
    <row r="35" spans="3:17" x14ac:dyDescent="0.25">
      <c r="C35" t="s">
        <v>59</v>
      </c>
    </row>
    <row r="38" spans="3:17" x14ac:dyDescent="0.25">
      <c r="C38" s="30"/>
      <c r="D38" s="30" t="s">
        <v>22</v>
      </c>
      <c r="E38" t="s">
        <v>23</v>
      </c>
      <c r="G38" t="s">
        <v>23</v>
      </c>
      <c r="Q38" t="s">
        <v>61</v>
      </c>
    </row>
    <row r="39" spans="3:17" x14ac:dyDescent="0.25">
      <c r="C39" s="30">
        <v>16</v>
      </c>
      <c r="D39" s="30">
        <v>107.32457074971289</v>
      </c>
      <c r="E39">
        <v>0.96874198294018665</v>
      </c>
      <c r="G39">
        <v>1.4187216364912096</v>
      </c>
    </row>
    <row r="40" spans="3:17" x14ac:dyDescent="0.25">
      <c r="C40" s="30">
        <v>20</v>
      </c>
      <c r="D40" s="30">
        <v>125.59700275812857</v>
      </c>
      <c r="E40">
        <v>0.59457770562372936</v>
      </c>
      <c r="G40">
        <v>1.0833614566234804</v>
      </c>
    </row>
    <row r="41" spans="3:17" x14ac:dyDescent="0.25">
      <c r="C41" s="30">
        <v>25</v>
      </c>
      <c r="D41" s="30">
        <v>140.62977779191854</v>
      </c>
      <c r="G41">
        <v>0.51665694675152452</v>
      </c>
    </row>
    <row r="42" spans="3:17" x14ac:dyDescent="0.25">
      <c r="C42" s="30">
        <v>30</v>
      </c>
      <c r="D42" s="30">
        <v>125.34035293016356</v>
      </c>
    </row>
    <row r="43" spans="3:17" x14ac:dyDescent="0.25">
      <c r="C43" s="30">
        <v>35</v>
      </c>
      <c r="D43" s="30">
        <v>134.45846662375999</v>
      </c>
    </row>
    <row r="44" spans="3:17" x14ac:dyDescent="0.25">
      <c r="F44">
        <v>140.62977779191854</v>
      </c>
    </row>
    <row r="45" spans="3:17" x14ac:dyDescent="0.25">
      <c r="C45" s="30" t="s">
        <v>60</v>
      </c>
      <c r="D45" s="30" t="s">
        <v>23</v>
      </c>
      <c r="F45">
        <v>0.11341417870889003</v>
      </c>
    </row>
    <row r="46" spans="3:17" x14ac:dyDescent="0.25">
      <c r="C46" s="30">
        <v>16</v>
      </c>
      <c r="D46" s="30">
        <v>0.96874198294018665</v>
      </c>
    </row>
    <row r="47" spans="3:17" x14ac:dyDescent="0.25">
      <c r="C47" s="30">
        <v>20</v>
      </c>
      <c r="D47" s="30">
        <v>0.59457770562372936</v>
      </c>
    </row>
    <row r="48" spans="3:17" x14ac:dyDescent="0.25">
      <c r="C48" s="30">
        <v>25</v>
      </c>
      <c r="D48" s="30">
        <v>0.11341417870889003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RO-PX-AD</vt:lpstr>
      <vt:lpstr>calculation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Mohanad Sarai Atab (PGR)</cp:lastModifiedBy>
  <dcterms:created xsi:type="dcterms:W3CDTF">2013-06-30T13:41:14Z</dcterms:created>
  <dcterms:modified xsi:type="dcterms:W3CDTF">2018-11-09T14:35:41Z</dcterms:modified>
</cp:coreProperties>
</file>