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568"/>
  </bookViews>
  <sheets>
    <sheet name="Zn ppm" sheetId="1" r:id="rId1"/>
    <sheet name="Zn standards" sheetId="7" r:id="rId2"/>
    <sheet name="Zn electroppt " sheetId="11" r:id="rId3"/>
    <sheet name="Zn nernst" sheetId="2" r:id="rId4"/>
    <sheet name="Zn HRT" sheetId="10" r:id="rId5"/>
  </sheets>
  <calcPr calcId="162913"/>
</workbook>
</file>

<file path=xl/calcChain.xml><?xml version="1.0" encoding="utf-8"?>
<calcChain xmlns="http://schemas.openxmlformats.org/spreadsheetml/2006/main">
  <c r="C10" i="11" l="1"/>
  <c r="D6" i="11" l="1"/>
  <c r="A33" i="11"/>
  <c r="C33" i="11"/>
  <c r="K33" i="11" s="1"/>
  <c r="A34" i="11"/>
  <c r="C34" i="11"/>
  <c r="K34" i="11" s="1"/>
  <c r="A35" i="11"/>
  <c r="C35" i="11"/>
  <c r="K35" i="11" s="1"/>
  <c r="A32" i="11"/>
  <c r="K10" i="11"/>
  <c r="A10" i="11" l="1"/>
  <c r="K3" i="2"/>
  <c r="J3" i="2"/>
  <c r="D3" i="11"/>
  <c r="D2" i="11"/>
  <c r="D10" i="11" s="1"/>
  <c r="D36" i="11" l="1"/>
  <c r="F10" i="11" s="1"/>
  <c r="G10" i="11" s="1"/>
  <c r="E10" i="11"/>
  <c r="D33" i="11"/>
  <c r="D34" i="11"/>
  <c r="D35" i="11"/>
  <c r="E35" i="11" l="1"/>
  <c r="E33" i="11"/>
  <c r="E34" i="11"/>
  <c r="E6" i="11"/>
  <c r="E3" i="2"/>
  <c r="L3" i="2" s="1"/>
  <c r="G6" i="11" l="1"/>
  <c r="I6" i="11"/>
  <c r="F6" i="11"/>
  <c r="K6" i="11"/>
  <c r="H6" i="11"/>
  <c r="J6" i="11"/>
  <c r="F3" i="2"/>
  <c r="N3" i="2" s="1"/>
  <c r="M3" i="2"/>
  <c r="R3" i="2" l="1"/>
  <c r="Q3" i="2"/>
  <c r="O3" i="2"/>
  <c r="B35" i="7"/>
  <c r="E23" i="7"/>
  <c r="F23" i="7" s="1"/>
  <c r="G23" i="7" s="1"/>
  <c r="E26" i="7"/>
  <c r="H26" i="7" s="1"/>
  <c r="I26" i="7" s="1"/>
  <c r="E25" i="7"/>
  <c r="H25" i="7" s="1"/>
  <c r="B21" i="7"/>
  <c r="B5" i="7"/>
  <c r="F26" i="7" l="1"/>
  <c r="G26" i="7" s="1"/>
  <c r="F25" i="7"/>
  <c r="H23" i="7"/>
  <c r="I23" i="7" s="1"/>
  <c r="A12" i="11"/>
  <c r="E28" i="7"/>
  <c r="E19" i="7"/>
  <c r="F19" i="7" l="1"/>
  <c r="G19" i="7" s="1"/>
  <c r="H28" i="7"/>
  <c r="F28" i="7"/>
  <c r="G28" i="7" s="1"/>
  <c r="E20" i="7"/>
  <c r="E21" i="7"/>
  <c r="E22" i="7"/>
  <c r="E24" i="7"/>
  <c r="E27" i="7"/>
  <c r="E29" i="7"/>
  <c r="E30" i="7"/>
  <c r="H21" i="7"/>
  <c r="I21" i="7" s="1"/>
  <c r="I28" i="7" l="1"/>
  <c r="B36" i="7"/>
  <c r="H30" i="7"/>
  <c r="I30" i="7" s="1"/>
  <c r="F20" i="7"/>
  <c r="G20" i="7" s="1"/>
  <c r="H29" i="7"/>
  <c r="I29" i="7" s="1"/>
  <c r="H22" i="7"/>
  <c r="I22" i="7" s="1"/>
  <c r="F24" i="7"/>
  <c r="G24" i="7" s="1"/>
  <c r="I25" i="7"/>
  <c r="F27" i="7"/>
  <c r="G27" i="7" s="1"/>
  <c r="F30" i="7"/>
  <c r="G30" i="7" s="1"/>
  <c r="H24" i="7"/>
  <c r="I24" i="7" s="1"/>
  <c r="G25" i="7"/>
  <c r="H20" i="7"/>
  <c r="I20" i="7" s="1"/>
  <c r="F22" i="7"/>
  <c r="G22" i="7" s="1"/>
  <c r="F21" i="7"/>
  <c r="G21" i="7" s="1"/>
  <c r="F29" i="7"/>
  <c r="G29" i="7" s="1"/>
  <c r="H19" i="7"/>
  <c r="I19" i="7" s="1"/>
  <c r="H27" i="7"/>
  <c r="I27" i="7" s="1"/>
  <c r="A11" i="11"/>
  <c r="C11" i="11"/>
  <c r="K11" i="11" s="1"/>
  <c r="C12" i="11"/>
  <c r="K12" i="11" s="1"/>
  <c r="A13" i="11"/>
  <c r="C13" i="11"/>
  <c r="K13" i="11" s="1"/>
  <c r="A14" i="11"/>
  <c r="C14" i="11"/>
  <c r="K14" i="11" s="1"/>
  <c r="A15" i="11"/>
  <c r="C15" i="11"/>
  <c r="K15" i="11" s="1"/>
  <c r="N15" i="11"/>
  <c r="N10" i="11" s="1"/>
  <c r="A16" i="11"/>
  <c r="C16" i="11"/>
  <c r="K16" i="11" s="1"/>
  <c r="A17" i="11"/>
  <c r="C17" i="11"/>
  <c r="K17" i="11" s="1"/>
  <c r="A18" i="11"/>
  <c r="C18" i="11"/>
  <c r="K18" i="11" s="1"/>
  <c r="A19" i="11"/>
  <c r="C19" i="11"/>
  <c r="K19" i="11" s="1"/>
  <c r="A20" i="11"/>
  <c r="C20" i="11"/>
  <c r="K20" i="11" s="1"/>
  <c r="A21" i="11"/>
  <c r="C21" i="11"/>
  <c r="K21" i="11" s="1"/>
  <c r="A22" i="11"/>
  <c r="C22" i="11"/>
  <c r="K22" i="11" s="1"/>
  <c r="A23" i="11"/>
  <c r="C23" i="11"/>
  <c r="K23" i="11" s="1"/>
  <c r="A24" i="11"/>
  <c r="C24" i="11"/>
  <c r="K24" i="11" s="1"/>
  <c r="A25" i="11"/>
  <c r="C25" i="11"/>
  <c r="K25" i="11" s="1"/>
  <c r="A26" i="11"/>
  <c r="C26" i="11"/>
  <c r="K26" i="11" s="1"/>
  <c r="A27" i="11"/>
  <c r="C27" i="11"/>
  <c r="K27" i="11" s="1"/>
  <c r="A28" i="11"/>
  <c r="C28" i="11"/>
  <c r="K28" i="11" s="1"/>
  <c r="A29" i="11"/>
  <c r="C29" i="11"/>
  <c r="K29" i="11" s="1"/>
  <c r="N29" i="11"/>
  <c r="A30" i="11"/>
  <c r="C30" i="11"/>
  <c r="A31" i="11"/>
  <c r="C31" i="11"/>
  <c r="C32" i="11"/>
  <c r="N35" i="11"/>
  <c r="D32" i="11" l="1"/>
  <c r="E32" i="11" s="1"/>
  <c r="D30" i="11"/>
  <c r="E30" i="11" s="1"/>
  <c r="D31" i="11"/>
  <c r="E31" i="11" s="1"/>
  <c r="K32" i="11"/>
  <c r="K31" i="11"/>
  <c r="K30" i="11"/>
  <c r="D14" i="11"/>
  <c r="E14" i="11" s="1"/>
  <c r="D11" i="11"/>
  <c r="E11" i="11" s="1"/>
  <c r="D15" i="11"/>
  <c r="E15" i="11" s="1"/>
  <c r="D13" i="11"/>
  <c r="E13" i="11" s="1"/>
  <c r="D12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B7" i="10"/>
  <c r="A7" i="10"/>
  <c r="F34" i="11" l="1"/>
  <c r="G34" i="11" s="1"/>
  <c r="H34" i="11" s="1"/>
  <c r="I34" i="11" s="1"/>
  <c r="J34" i="11" s="1"/>
  <c r="F35" i="11"/>
  <c r="G35" i="11" s="1"/>
  <c r="H35" i="11" s="1"/>
  <c r="I35" i="11" s="1"/>
  <c r="J35" i="11" s="1"/>
  <c r="F33" i="11"/>
  <c r="G33" i="11" s="1"/>
  <c r="H33" i="11" s="1"/>
  <c r="I33" i="11" s="1"/>
  <c r="J33" i="11" s="1"/>
  <c r="H10" i="11"/>
  <c r="I10" i="11" s="1"/>
  <c r="J10" i="11" s="1"/>
  <c r="F32" i="11"/>
  <c r="G32" i="11" s="1"/>
  <c r="H32" i="11" s="1"/>
  <c r="I32" i="11" s="1"/>
  <c r="J32" i="11" s="1"/>
  <c r="F30" i="11"/>
  <c r="G30" i="11" s="1"/>
  <c r="H30" i="11" s="1"/>
  <c r="I30" i="11" s="1"/>
  <c r="J30" i="11" s="1"/>
  <c r="F31" i="11"/>
  <c r="G31" i="11" s="1"/>
  <c r="H31" i="11" s="1"/>
  <c r="I31" i="11" s="1"/>
  <c r="J31" i="11" s="1"/>
  <c r="F13" i="11"/>
  <c r="G13" i="11" s="1"/>
  <c r="H13" i="11" s="1"/>
  <c r="I13" i="11" s="1"/>
  <c r="J13" i="11" s="1"/>
  <c r="F14" i="11"/>
  <c r="G14" i="11" s="1"/>
  <c r="H14" i="11" s="1"/>
  <c r="I14" i="11" s="1"/>
  <c r="J14" i="11" s="1"/>
  <c r="F11" i="11"/>
  <c r="G11" i="11" s="1"/>
  <c r="H11" i="11" s="1"/>
  <c r="I11" i="11" s="1"/>
  <c r="J11" i="11" s="1"/>
  <c r="E12" i="11"/>
  <c r="F12" i="11"/>
  <c r="G12" i="11" s="1"/>
  <c r="H12" i="11" s="1"/>
  <c r="I12" i="11" s="1"/>
  <c r="J12" i="11" s="1"/>
  <c r="F15" i="11"/>
  <c r="G15" i="11" s="1"/>
  <c r="H15" i="11" s="1"/>
  <c r="I15" i="11" s="1"/>
  <c r="J15" i="11" s="1"/>
  <c r="F29" i="11"/>
  <c r="G29" i="11" s="1"/>
  <c r="H29" i="11" s="1"/>
  <c r="I29" i="11" s="1"/>
  <c r="J29" i="11" s="1"/>
  <c r="E29" i="11"/>
  <c r="F27" i="11"/>
  <c r="G27" i="11" s="1"/>
  <c r="H27" i="11" s="1"/>
  <c r="I27" i="11" s="1"/>
  <c r="J27" i="11" s="1"/>
  <c r="E27" i="11"/>
  <c r="F25" i="11"/>
  <c r="G25" i="11" s="1"/>
  <c r="H25" i="11" s="1"/>
  <c r="I25" i="11" s="1"/>
  <c r="J25" i="11" s="1"/>
  <c r="E25" i="11"/>
  <c r="F23" i="11"/>
  <c r="G23" i="11" s="1"/>
  <c r="H23" i="11" s="1"/>
  <c r="I23" i="11" s="1"/>
  <c r="J23" i="11" s="1"/>
  <c r="E23" i="11"/>
  <c r="F21" i="11"/>
  <c r="G21" i="11" s="1"/>
  <c r="H21" i="11" s="1"/>
  <c r="I21" i="11" s="1"/>
  <c r="J21" i="11" s="1"/>
  <c r="E21" i="11"/>
  <c r="F19" i="11"/>
  <c r="G19" i="11" s="1"/>
  <c r="H19" i="11" s="1"/>
  <c r="I19" i="11" s="1"/>
  <c r="J19" i="11" s="1"/>
  <c r="E19" i="11"/>
  <c r="F17" i="11"/>
  <c r="G17" i="11" s="1"/>
  <c r="H17" i="11" s="1"/>
  <c r="I17" i="11" s="1"/>
  <c r="J17" i="11" s="1"/>
  <c r="E17" i="11"/>
  <c r="F28" i="11"/>
  <c r="G28" i="11" s="1"/>
  <c r="H28" i="11" s="1"/>
  <c r="I28" i="11" s="1"/>
  <c r="J28" i="11" s="1"/>
  <c r="E28" i="11"/>
  <c r="F26" i="11"/>
  <c r="G26" i="11" s="1"/>
  <c r="H26" i="11" s="1"/>
  <c r="I26" i="11" s="1"/>
  <c r="J26" i="11" s="1"/>
  <c r="E26" i="11"/>
  <c r="F24" i="11"/>
  <c r="G24" i="11" s="1"/>
  <c r="H24" i="11" s="1"/>
  <c r="I24" i="11" s="1"/>
  <c r="J24" i="11" s="1"/>
  <c r="E24" i="11"/>
  <c r="F22" i="11"/>
  <c r="G22" i="11" s="1"/>
  <c r="H22" i="11" s="1"/>
  <c r="I22" i="11" s="1"/>
  <c r="J22" i="11" s="1"/>
  <c r="E22" i="11"/>
  <c r="F20" i="11"/>
  <c r="G20" i="11" s="1"/>
  <c r="H20" i="11" s="1"/>
  <c r="I20" i="11" s="1"/>
  <c r="J20" i="11" s="1"/>
  <c r="E20" i="11"/>
  <c r="F18" i="11"/>
  <c r="G18" i="11" s="1"/>
  <c r="H18" i="11" s="1"/>
  <c r="I18" i="11" s="1"/>
  <c r="J18" i="11" s="1"/>
  <c r="E18" i="11"/>
  <c r="F16" i="11"/>
  <c r="G16" i="11" s="1"/>
  <c r="H16" i="11" s="1"/>
  <c r="E16" i="11"/>
  <c r="E12" i="7"/>
  <c r="F12" i="7" s="1"/>
  <c r="G12" i="7" s="1"/>
  <c r="I16" i="11" l="1"/>
  <c r="J16" i="11" s="1"/>
  <c r="H12" i="7"/>
  <c r="I12" i="7" s="1"/>
  <c r="E4" i="7" l="1"/>
  <c r="H4" i="7" s="1"/>
  <c r="I4" i="7" s="1"/>
  <c r="E5" i="7"/>
  <c r="H5" i="7" s="1"/>
  <c r="I5" i="7" s="1"/>
  <c r="E6" i="7"/>
  <c r="F6" i="7" s="1"/>
  <c r="G6" i="7" s="1"/>
  <c r="E7" i="7"/>
  <c r="F7" i="7" s="1"/>
  <c r="G7" i="7" s="1"/>
  <c r="E8" i="7"/>
  <c r="H8" i="7" s="1"/>
  <c r="I8" i="7" s="1"/>
  <c r="E9" i="7"/>
  <c r="H9" i="7" s="1"/>
  <c r="I9" i="7" s="1"/>
  <c r="E10" i="7"/>
  <c r="H10" i="7" s="1"/>
  <c r="I10" i="7" s="1"/>
  <c r="E11" i="7"/>
  <c r="H11" i="7" s="1"/>
  <c r="I11" i="7" s="1"/>
  <c r="E3" i="7"/>
  <c r="F5" i="7"/>
  <c r="G5" i="7" s="1"/>
  <c r="J10" i="2"/>
  <c r="K10" i="2"/>
  <c r="N10" i="2" l="1"/>
  <c r="L10" i="2"/>
  <c r="F3" i="7"/>
  <c r="G3" i="7" s="1"/>
  <c r="F4" i="7"/>
  <c r="G4" i="7" s="1"/>
  <c r="F9" i="7"/>
  <c r="G9" i="7" s="1"/>
  <c r="H3" i="7"/>
  <c r="I3" i="7" s="1"/>
  <c r="O10" i="2"/>
  <c r="F8" i="7"/>
  <c r="G8" i="7" s="1"/>
  <c r="H7" i="7"/>
  <c r="I7" i="7" s="1"/>
  <c r="F11" i="7"/>
  <c r="G11" i="7" s="1"/>
  <c r="F10" i="7"/>
  <c r="G10" i="7" s="1"/>
  <c r="H6" i="7"/>
  <c r="I6" i="7" s="1"/>
  <c r="Q10" i="2" l="1"/>
  <c r="R10" i="2"/>
  <c r="M10" i="2"/>
  <c r="J14" i="2"/>
  <c r="C3" i="2"/>
  <c r="N14" i="2" l="1"/>
  <c r="L14" i="2"/>
  <c r="M14" i="2" s="1"/>
  <c r="O14" i="2"/>
  <c r="K14" i="2"/>
  <c r="Q14" i="2" l="1"/>
  <c r="R14" i="2"/>
  <c r="J4" i="2"/>
  <c r="J5" i="2"/>
  <c r="J6" i="2"/>
  <c r="J7" i="2"/>
  <c r="J8" i="2"/>
  <c r="J9" i="2"/>
  <c r="J11" i="2"/>
  <c r="J12" i="2"/>
  <c r="J13" i="2"/>
  <c r="J15" i="2"/>
  <c r="J16" i="2"/>
  <c r="N15" i="2" l="1"/>
  <c r="L15" i="2"/>
  <c r="N12" i="2"/>
  <c r="L12" i="2"/>
  <c r="M12" i="2" s="1"/>
  <c r="N9" i="2"/>
  <c r="L9" i="2"/>
  <c r="M9" i="2" s="1"/>
  <c r="N7" i="2"/>
  <c r="L7" i="2"/>
  <c r="N5" i="2"/>
  <c r="L5" i="2"/>
  <c r="M5" i="2" s="1"/>
  <c r="N16" i="2"/>
  <c r="L16" i="2"/>
  <c r="M16" i="2" s="1"/>
  <c r="N13" i="2"/>
  <c r="L13" i="2"/>
  <c r="N11" i="2"/>
  <c r="L11" i="2"/>
  <c r="M11" i="2" s="1"/>
  <c r="N8" i="2"/>
  <c r="L8" i="2"/>
  <c r="N6" i="2"/>
  <c r="L6" i="2"/>
  <c r="M6" i="2" s="1"/>
  <c r="L4" i="2"/>
  <c r="M4" i="2" s="1"/>
  <c r="N4" i="2"/>
  <c r="O11" i="2"/>
  <c r="O9" i="2"/>
  <c r="O13" i="2"/>
  <c r="M13" i="2"/>
  <c r="O12" i="2"/>
  <c r="O8" i="2"/>
  <c r="M8" i="2"/>
  <c r="O7" i="2"/>
  <c r="M7" i="2"/>
  <c r="O16" i="2"/>
  <c r="O6" i="2"/>
  <c r="O15" i="2"/>
  <c r="M15" i="2"/>
  <c r="O5" i="2"/>
  <c r="O4" i="2"/>
  <c r="K11" i="2"/>
  <c r="K7" i="2"/>
  <c r="K16" i="2"/>
  <c r="K6" i="2"/>
  <c r="K15" i="2"/>
  <c r="K13" i="2"/>
  <c r="K4" i="2"/>
  <c r="K12" i="2"/>
  <c r="K9" i="2"/>
  <c r="K8" i="2"/>
  <c r="K5" i="2"/>
  <c r="E7" i="1"/>
  <c r="D7" i="1"/>
  <c r="C7" i="1"/>
  <c r="B7" i="1"/>
  <c r="Q4" i="2" l="1"/>
  <c r="R4" i="2"/>
  <c r="Q6" i="2"/>
  <c r="R6" i="2"/>
  <c r="Q8" i="2"/>
  <c r="R8" i="2"/>
  <c r="Q11" i="2"/>
  <c r="R11" i="2"/>
  <c r="Q13" i="2"/>
  <c r="R13" i="2"/>
  <c r="Q16" i="2"/>
  <c r="R16" i="2"/>
  <c r="Q5" i="2"/>
  <c r="R5" i="2"/>
  <c r="Q7" i="2"/>
  <c r="R7" i="2"/>
  <c r="Q9" i="2"/>
  <c r="R9" i="2"/>
  <c r="Q12" i="2"/>
  <c r="R12" i="2"/>
  <c r="Q15" i="2"/>
  <c r="R15" i="2"/>
</calcChain>
</file>

<file path=xl/sharedStrings.xml><?xml version="1.0" encoding="utf-8"?>
<sst xmlns="http://schemas.openxmlformats.org/spreadsheetml/2006/main" count="175" uniqueCount="127">
  <si>
    <t>mM</t>
  </si>
  <si>
    <t>Input</t>
  </si>
  <si>
    <t>Output</t>
  </si>
  <si>
    <t>Cu</t>
  </si>
  <si>
    <t>Mr (g mol-1)</t>
  </si>
  <si>
    <t>ppm (mg/L)</t>
  </si>
  <si>
    <t>Zn</t>
  </si>
  <si>
    <t>n</t>
  </si>
  <si>
    <t>R/JK-1mol-1</t>
  </si>
  <si>
    <t>T/K</t>
  </si>
  <si>
    <t>RE adjustment</t>
  </si>
  <si>
    <t>F/Cmol-1</t>
  </si>
  <si>
    <t>(0V for SHE, 0.205V for 3.5M KCl Ag/AgCl)</t>
  </si>
  <si>
    <t>All E/V in table reported against 3.5M KCl Ag/AgCl (-205mV vs SHE)</t>
  </si>
  <si>
    <t>E(0)/V vs SHE</t>
  </si>
  <si>
    <t>E(0) vs Ag/AgCl</t>
  </si>
  <si>
    <t>ppm</t>
  </si>
  <si>
    <t>M</t>
  </si>
  <si>
    <t>Kinetics</t>
  </si>
  <si>
    <t>Exchange current density</t>
  </si>
  <si>
    <t>pg 99 of B&amp;F</t>
  </si>
  <si>
    <t>i(0)</t>
  </si>
  <si>
    <t>i(0) = FAk(0)C</t>
  </si>
  <si>
    <t>A</t>
  </si>
  <si>
    <t>Electrode area</t>
  </si>
  <si>
    <t>k(0)</t>
  </si>
  <si>
    <t>C</t>
  </si>
  <si>
    <t>Concentration</t>
  </si>
  <si>
    <t>F</t>
  </si>
  <si>
    <t>Faraday's constant</t>
  </si>
  <si>
    <t>Standard rate constant</t>
  </si>
  <si>
    <t xml:space="preserve">My thesis, page 58, shows that the current can be predicted from the Butler-Volmer equation; </t>
  </si>
  <si>
    <t>BV equation</t>
  </si>
  <si>
    <t>i</t>
  </si>
  <si>
    <t>Current</t>
  </si>
  <si>
    <t>f</t>
  </si>
  <si>
    <t>F/RT</t>
  </si>
  <si>
    <t>α</t>
  </si>
  <si>
    <t>η</t>
  </si>
  <si>
    <t>Symmetry of the transition state (between 0 and 1, and usually set to 0.5)</t>
  </si>
  <si>
    <t>Overpotential</t>
  </si>
  <si>
    <t>Number of electrons transferred</t>
  </si>
  <si>
    <r>
      <t>i = Ai(0)[e^(-</t>
    </r>
    <r>
      <rPr>
        <b/>
        <sz val="11"/>
        <color theme="1"/>
        <rFont val="Calibri"/>
        <family val="2"/>
      </rPr>
      <t>αnfη) - e^((1-α)nfη)]</t>
    </r>
  </si>
  <si>
    <t>[Zn2+]</t>
  </si>
  <si>
    <t>Atomic mass (Zn) / g mol-1</t>
  </si>
  <si>
    <t>ml of stock in 100 ml</t>
  </si>
  <si>
    <t>ul</t>
  </si>
  <si>
    <t>ml of stock in 1000 ml</t>
  </si>
  <si>
    <t>Zn(2+) / M</t>
  </si>
  <si>
    <t>ZnSO4.7H2O</t>
  </si>
  <si>
    <t>Zn2+ + 2e- -&gt; Zn(s)</t>
  </si>
  <si>
    <t>ln[Zn(s)/[Zn2+]]</t>
  </si>
  <si>
    <t>Volumetric flask</t>
  </si>
  <si>
    <t>ZnSO4.7H2O (g) in 200 ml stock</t>
  </si>
  <si>
    <t>[Zn2+] standard</t>
  </si>
  <si>
    <t>HRT (hrs)</t>
  </si>
  <si>
    <t>HRT calculator</t>
  </si>
  <si>
    <t>Flow rate (ml/min)</t>
  </si>
  <si>
    <t>Cathode volume (ml)</t>
  </si>
  <si>
    <t>HRT = Volume / Flow rate</t>
  </si>
  <si>
    <t>Flow rate = Volume / HRT</t>
  </si>
  <si>
    <t>Flow rate (ml/hr)</t>
  </si>
  <si>
    <t>Conc. (mM)</t>
  </si>
  <si>
    <t>Conc. (g/L)</t>
  </si>
  <si>
    <t>NaCl (g/mol)</t>
  </si>
  <si>
    <t>Salt as background electrolyte</t>
  </si>
  <si>
    <t>Na2SO4 (g/mol)</t>
  </si>
  <si>
    <t>Sodium sulphate as background electrolyte</t>
  </si>
  <si>
    <t>s A / mol</t>
  </si>
  <si>
    <t>Electrochemical</t>
  </si>
  <si>
    <t>Zn(OH)2 (g/mol)</t>
  </si>
  <si>
    <t>[Zn] (mM)</t>
  </si>
  <si>
    <t>Zn (g/mol)</t>
  </si>
  <si>
    <t>ZnCl2 (g/mol)</t>
  </si>
  <si>
    <t>ZnCl2 (g/L)</t>
  </si>
  <si>
    <t>ZnSO4.7H2O (g/mol)</t>
  </si>
  <si>
    <t>ZnSO4.7H2O (g/L)</t>
  </si>
  <si>
    <t>mg</t>
  </si>
  <si>
    <t>hrs</t>
  </si>
  <si>
    <t>s</t>
  </si>
  <si>
    <t>mols</t>
  </si>
  <si>
    <t>Zn(OH)2 (s)</t>
  </si>
  <si>
    <t>Time</t>
  </si>
  <si>
    <t>Q</t>
  </si>
  <si>
    <t>xss n(OH-)</t>
  </si>
  <si>
    <t>xss [OH-]</t>
  </si>
  <si>
    <t>pH</t>
  </si>
  <si>
    <t>[OH-]</t>
  </si>
  <si>
    <t>[Zn]</t>
  </si>
  <si>
    <t>Current / A</t>
  </si>
  <si>
    <r>
      <t xml:space="preserve">O2 + </t>
    </r>
    <r>
      <rPr>
        <b/>
        <sz val="11"/>
        <color theme="1"/>
        <rFont val="Calibri"/>
        <family val="2"/>
        <scheme val="minor"/>
      </rPr>
      <t>4H+</t>
    </r>
    <r>
      <rPr>
        <sz val="11"/>
        <color theme="1"/>
        <rFont val="Calibri"/>
        <family val="2"/>
        <scheme val="minor"/>
      </rPr>
      <t xml:space="preserve"> + 4e- &lt;=&gt; 2H2O</t>
    </r>
  </si>
  <si>
    <t>Acid</t>
  </si>
  <si>
    <t>Current / mA</t>
  </si>
  <si>
    <t>i.e. 1:1 for mols and electrons</t>
  </si>
  <si>
    <r>
      <t xml:space="preserve">O2 + 2H2O + 4e- &lt;=&gt; </t>
    </r>
    <r>
      <rPr>
        <b/>
        <sz val="11"/>
        <color theme="1"/>
        <rFont val="Calibri"/>
        <family val="2"/>
        <scheme val="minor"/>
      </rPr>
      <t>4OH-</t>
    </r>
  </si>
  <si>
    <t>Alkali</t>
  </si>
  <si>
    <t>WE volume / ml</t>
  </si>
  <si>
    <t>Kw = [OH-][H+]</t>
  </si>
  <si>
    <t>At 298</t>
  </si>
  <si>
    <t>Kw / (mol dm-3)^2</t>
  </si>
  <si>
    <t>Ks = [Zn2+][OH-]2</t>
  </si>
  <si>
    <t>Zn2+ + 2OH- &lt;=&gt; Zn(OH)2</t>
  </si>
  <si>
    <t>Ks / (mol dm-3)^3</t>
  </si>
  <si>
    <t>At 25 deg. C</t>
  </si>
  <si>
    <t>ZnCl2</t>
  </si>
  <si>
    <t>ZnCl2 (g) in 200 ml stock</t>
  </si>
  <si>
    <t>E/V @ T = 25°C</t>
  </si>
  <si>
    <t>For experimental:</t>
  </si>
  <si>
    <t xml:space="preserve">1. Prepare ZnCl2 0.1M stock: </t>
  </si>
  <si>
    <t>2. Prepare ZnCl2 50ppm:</t>
  </si>
  <si>
    <t>mL/100mL DI water</t>
  </si>
  <si>
    <t>g/200 mL DI water</t>
  </si>
  <si>
    <t>For STD:</t>
  </si>
  <si>
    <t>1. Prepare 100mL STDs with stock solution + 2% HNO3 (2mL concentrated HNO3)</t>
  </si>
  <si>
    <t>mL</t>
  </si>
  <si>
    <t>g</t>
  </si>
  <si>
    <t>+ 3.0g/L NaCl</t>
  </si>
  <si>
    <t>RT/nF @ T = 25°C</t>
  </si>
  <si>
    <t>∆ %</t>
  </si>
  <si>
    <t>E/mV @ T = 25°C</t>
  </si>
  <si>
    <t>RT/nF @ T = 10°C</t>
  </si>
  <si>
    <t>E/V @ T = 10°C</t>
  </si>
  <si>
    <t>E/mV @ T = 10°C</t>
  </si>
  <si>
    <t xml:space="preserve">∆ </t>
  </si>
  <si>
    <t>A/m2</t>
  </si>
  <si>
    <t>m2</t>
  </si>
  <si>
    <t>* I = Q/t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</si>
</sst>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2" fontId="3" fillId="0" borderId="1" xfId="0" applyNumberFormat="1" applyFont="1" applyBorder="1"/>
    <xf numFmtId="0" fontId="0" fillId="0" borderId="2" xfId="0" applyBorder="1"/>
    <xf numFmtId="0" fontId="1" fillId="0" borderId="2" xfId="0" applyFont="1" applyBorder="1"/>
    <xf numFmtId="0" fontId="3" fillId="0" borderId="2" xfId="0" applyFont="1" applyBorder="1"/>
    <xf numFmtId="2" fontId="3" fillId="0" borderId="2" xfId="0" applyNumberFormat="1" applyFont="1" applyBorder="1"/>
    <xf numFmtId="0" fontId="2" fillId="0" borderId="1" xfId="0" applyFont="1" applyBorder="1"/>
    <xf numFmtId="0" fontId="0" fillId="0" borderId="0" xfId="0" applyBorder="1"/>
    <xf numFmtId="2" fontId="0" fillId="0" borderId="0" xfId="0" applyNumberFormat="1"/>
    <xf numFmtId="11" fontId="0" fillId="0" borderId="0" xfId="0" applyNumberFormat="1"/>
    <xf numFmtId="11" fontId="0" fillId="0" borderId="3" xfId="0" applyNumberFormat="1" applyBorder="1"/>
    <xf numFmtId="2" fontId="0" fillId="0" borderId="3" xfId="0" applyNumberFormat="1" applyBorder="1"/>
    <xf numFmtId="0" fontId="0" fillId="0" borderId="3" xfId="0" applyBorder="1"/>
    <xf numFmtId="0" fontId="4" fillId="0" borderId="0" xfId="0" applyFont="1"/>
    <xf numFmtId="0" fontId="5" fillId="0" borderId="0" xfId="0" applyFont="1"/>
    <xf numFmtId="0" fontId="2" fillId="0" borderId="0" xfId="0" applyFont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2" fontId="8" fillId="0" borderId="0" xfId="0" applyNumberFormat="1" applyFont="1"/>
    <xf numFmtId="0" fontId="10" fillId="0" borderId="0" xfId="0" applyFont="1"/>
    <xf numFmtId="0" fontId="7" fillId="0" borderId="0" xfId="0" applyFont="1" applyFill="1" applyBorder="1"/>
    <xf numFmtId="1" fontId="0" fillId="0" borderId="0" xfId="0" applyNumberFormat="1"/>
    <xf numFmtId="0" fontId="8" fillId="0" borderId="4" xfId="0" applyFont="1" applyBorder="1"/>
    <xf numFmtId="11" fontId="8" fillId="0" borderId="5" xfId="0" applyNumberFormat="1" applyFont="1" applyBorder="1"/>
    <xf numFmtId="11" fontId="7" fillId="0" borderId="0" xfId="0" applyNumberFormat="1" applyFont="1"/>
    <xf numFmtId="1" fontId="7" fillId="0" borderId="0" xfId="0" applyNumberFormat="1" applyFont="1"/>
    <xf numFmtId="0" fontId="0" fillId="2" borderId="0" xfId="0" applyFill="1"/>
    <xf numFmtId="0" fontId="2" fillId="2" borderId="0" xfId="0" applyFont="1" applyFill="1"/>
    <xf numFmtId="0" fontId="10" fillId="2" borderId="0" xfId="0" applyFont="1" applyFill="1"/>
    <xf numFmtId="2" fontId="8" fillId="2" borderId="0" xfId="0" applyNumberFormat="1" applyFont="1" applyFill="1"/>
    <xf numFmtId="0" fontId="7" fillId="2" borderId="0" xfId="0" applyFont="1" applyFill="1"/>
    <xf numFmtId="2" fontId="7" fillId="2" borderId="0" xfId="0" applyNumberFormat="1" applyFont="1" applyFill="1"/>
    <xf numFmtId="0" fontId="8" fillId="2" borderId="0" xfId="0" applyFont="1" applyFill="1"/>
    <xf numFmtId="0" fontId="9" fillId="2" borderId="0" xfId="0" applyFont="1" applyFill="1"/>
    <xf numFmtId="2" fontId="9" fillId="2" borderId="0" xfId="0" applyNumberFormat="1" applyFont="1" applyFill="1"/>
    <xf numFmtId="0" fontId="10" fillId="2" borderId="0" xfId="0" applyFont="1" applyFill="1" applyBorder="1"/>
    <xf numFmtId="0" fontId="10" fillId="3" borderId="0" xfId="0" applyFont="1" applyFill="1"/>
    <xf numFmtId="0" fontId="0" fillId="0" borderId="0" xfId="0" quotePrefix="1"/>
    <xf numFmtId="2" fontId="0" fillId="0" borderId="0" xfId="0" applyNumberFormat="1" applyFont="1"/>
    <xf numFmtId="0" fontId="0" fillId="0" borderId="0" xfId="0" applyFont="1"/>
    <xf numFmtId="0" fontId="0" fillId="0" borderId="7" xfId="0" applyBorder="1"/>
    <xf numFmtId="0" fontId="0" fillId="0" borderId="6" xfId="0" applyBorder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85725</xdr:rowOff>
    </xdr:from>
    <xdr:to>
      <xdr:col>0</xdr:col>
      <xdr:colOff>1524000</xdr:colOff>
      <xdr:row>5</xdr:row>
      <xdr:rowOff>180975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57225"/>
          <a:ext cx="1485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7" sqref="D7"/>
    </sheetView>
  </sheetViews>
  <sheetFormatPr defaultRowHeight="14.4" x14ac:dyDescent="0.3"/>
  <cols>
    <col min="1" max="1" width="13.6640625" customWidth="1"/>
    <col min="2" max="2" width="12.44140625" style="3" customWidth="1"/>
    <col min="3" max="3" width="12.88671875" style="7" customWidth="1"/>
    <col min="4" max="4" width="12.44140625" style="3" customWidth="1"/>
    <col min="5" max="5" width="12.88671875" style="7" customWidth="1"/>
  </cols>
  <sheetData>
    <row r="1" spans="1:5" x14ac:dyDescent="0.3">
      <c r="B1" s="11" t="s">
        <v>3</v>
      </c>
      <c r="D1" s="11" t="s">
        <v>6</v>
      </c>
    </row>
    <row r="3" spans="1:5" x14ac:dyDescent="0.3">
      <c r="A3" s="1" t="s">
        <v>1</v>
      </c>
      <c r="B3" s="4" t="s">
        <v>0</v>
      </c>
      <c r="C3" s="8" t="s">
        <v>5</v>
      </c>
      <c r="D3" s="4" t="s">
        <v>0</v>
      </c>
      <c r="E3" s="8" t="s">
        <v>5</v>
      </c>
    </row>
    <row r="4" spans="1:5" x14ac:dyDescent="0.3">
      <c r="A4" s="1"/>
      <c r="B4" s="4">
        <v>0.2</v>
      </c>
      <c r="C4" s="8">
        <v>800</v>
      </c>
      <c r="D4" s="4">
        <v>2.2000000000000002</v>
      </c>
      <c r="E4" s="8">
        <v>20</v>
      </c>
    </row>
    <row r="6" spans="1:5" x14ac:dyDescent="0.3">
      <c r="A6" s="2" t="s">
        <v>2</v>
      </c>
      <c r="B6" s="5" t="s">
        <v>5</v>
      </c>
      <c r="C6" s="9" t="s">
        <v>0</v>
      </c>
      <c r="D6" s="5" t="s">
        <v>5</v>
      </c>
      <c r="E6" s="9" t="s">
        <v>0</v>
      </c>
    </row>
    <row r="7" spans="1:5" x14ac:dyDescent="0.3">
      <c r="A7" s="2"/>
      <c r="B7" s="6">
        <f>(B4/1000)*$B$11*1000</f>
        <v>13.109200000000001</v>
      </c>
      <c r="C7" s="10">
        <f>((C4/1000)/$B$11)*1000</f>
        <v>12.205168889024502</v>
      </c>
      <c r="D7" s="6">
        <f>(D4/1000)*$B$12*1000</f>
        <v>143.83599999999998</v>
      </c>
      <c r="E7" s="10">
        <f>((E4/1000)/$B$12)*1000</f>
        <v>0.30590394616090549</v>
      </c>
    </row>
    <row r="10" spans="1:5" x14ac:dyDescent="0.3">
      <c r="A10" t="s">
        <v>4</v>
      </c>
    </row>
    <row r="11" spans="1:5" x14ac:dyDescent="0.3">
      <c r="A11" t="s">
        <v>3</v>
      </c>
      <c r="B11" s="3">
        <v>65.546000000000006</v>
      </c>
    </row>
    <row r="12" spans="1:5" x14ac:dyDescent="0.3">
      <c r="A12" t="s">
        <v>6</v>
      </c>
      <c r="B12" s="3">
        <v>65.38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J38" sqref="J38"/>
    </sheetView>
  </sheetViews>
  <sheetFormatPr defaultRowHeight="14.4" x14ac:dyDescent="0.3"/>
  <cols>
    <col min="1" max="1" width="29.6640625" customWidth="1"/>
    <col min="4" max="4" width="11.5546875" customWidth="1"/>
    <col min="5" max="5" width="12" bestFit="1" customWidth="1"/>
    <col min="6" max="6" width="20.109375" customWidth="1"/>
    <col min="7" max="7" width="10.44140625" customWidth="1"/>
    <col min="8" max="8" width="19.44140625" customWidth="1"/>
    <col min="9" max="9" width="14.44140625" customWidth="1"/>
    <col min="10" max="10" width="9.88671875" customWidth="1"/>
    <col min="11" max="11" width="22.6640625" customWidth="1"/>
    <col min="13" max="13" width="21.33203125" customWidth="1"/>
  </cols>
  <sheetData>
    <row r="1" spans="1:9" x14ac:dyDescent="0.3">
      <c r="A1" s="32"/>
      <c r="B1" s="32"/>
      <c r="C1" s="32"/>
      <c r="D1" s="33" t="s">
        <v>54</v>
      </c>
      <c r="E1" s="32"/>
      <c r="F1" s="32"/>
      <c r="G1" s="32"/>
      <c r="H1" s="32"/>
      <c r="I1" s="32"/>
    </row>
    <row r="2" spans="1:9" x14ac:dyDescent="0.3">
      <c r="A2" s="32" t="s">
        <v>44</v>
      </c>
      <c r="B2" s="32">
        <v>65.38</v>
      </c>
      <c r="C2" s="32"/>
      <c r="D2" s="33" t="s">
        <v>5</v>
      </c>
      <c r="E2" s="32" t="s">
        <v>17</v>
      </c>
      <c r="F2" s="32" t="s">
        <v>47</v>
      </c>
      <c r="G2" s="32" t="s">
        <v>46</v>
      </c>
      <c r="H2" s="32" t="s">
        <v>45</v>
      </c>
      <c r="I2" s="32" t="s">
        <v>46</v>
      </c>
    </row>
    <row r="3" spans="1:9" x14ac:dyDescent="0.3">
      <c r="A3" s="32" t="s">
        <v>49</v>
      </c>
      <c r="B3" s="32">
        <v>287.56</v>
      </c>
      <c r="C3" s="32"/>
      <c r="D3" s="34">
        <v>1</v>
      </c>
      <c r="E3" s="32">
        <f t="shared" ref="E3:E12" si="0">D3/1000/$B$2</f>
        <v>1.5295197308045274E-5</v>
      </c>
      <c r="F3" s="32">
        <f>(E3*$B$7)/$B$5</f>
        <v>0.15295197308045275</v>
      </c>
      <c r="G3" s="35">
        <f>F3*1000</f>
        <v>152.95197308045275</v>
      </c>
      <c r="H3" s="36">
        <f t="shared" ref="H3:H12" si="1">(E3*$B$8)/$B$5</f>
        <v>1.5295197308045275E-2</v>
      </c>
      <c r="I3" s="37">
        <f>H3*1000</f>
        <v>15.295197308045275</v>
      </c>
    </row>
    <row r="4" spans="1:9" x14ac:dyDescent="0.3">
      <c r="A4" s="32"/>
      <c r="B4" s="32"/>
      <c r="C4" s="32"/>
      <c r="D4" s="34">
        <v>2</v>
      </c>
      <c r="E4" s="32">
        <f t="shared" si="0"/>
        <v>3.0590394616090547E-5</v>
      </c>
      <c r="F4" s="32">
        <f t="shared" ref="F4:F12" si="2">(E4*$B$7)/$B$5</f>
        <v>0.30590394616090549</v>
      </c>
      <c r="G4" s="35">
        <f t="shared" ref="G4:G12" si="3">F4*1000</f>
        <v>305.90394616090549</v>
      </c>
      <c r="H4" s="36">
        <f t="shared" si="1"/>
        <v>3.059039461609055E-2</v>
      </c>
      <c r="I4" s="37">
        <f t="shared" ref="I4:I12" si="4">H4*1000</f>
        <v>30.590394616090549</v>
      </c>
    </row>
    <row r="5" spans="1:9" x14ac:dyDescent="0.3">
      <c r="A5" s="32" t="s">
        <v>48</v>
      </c>
      <c r="B5" s="32">
        <f>B14/B3/0.2</f>
        <v>9.9999999999999992E-2</v>
      </c>
      <c r="C5" s="32"/>
      <c r="D5" s="34">
        <v>4</v>
      </c>
      <c r="E5" s="32">
        <f t="shared" si="0"/>
        <v>6.1180789232181094E-5</v>
      </c>
      <c r="F5" s="32">
        <f t="shared" si="2"/>
        <v>0.61180789232181099</v>
      </c>
      <c r="G5" s="35">
        <f t="shared" si="3"/>
        <v>611.80789232181098</v>
      </c>
      <c r="H5" s="36">
        <f t="shared" si="1"/>
        <v>6.11807892321811E-2</v>
      </c>
      <c r="I5" s="37">
        <f t="shared" si="4"/>
        <v>61.180789232181098</v>
      </c>
    </row>
    <row r="6" spans="1:9" x14ac:dyDescent="0.3">
      <c r="A6" s="32"/>
      <c r="B6" s="32"/>
      <c r="C6" s="32"/>
      <c r="D6" s="34">
        <v>6</v>
      </c>
      <c r="E6" s="32">
        <f t="shared" si="0"/>
        <v>9.1771183848271648E-5</v>
      </c>
      <c r="F6" s="32">
        <f t="shared" si="2"/>
        <v>0.91771183848271665</v>
      </c>
      <c r="G6" s="35">
        <f t="shared" si="3"/>
        <v>917.71183848271664</v>
      </c>
      <c r="H6" s="36">
        <f t="shared" si="1"/>
        <v>9.1771183848271654E-2</v>
      </c>
      <c r="I6" s="37">
        <f t="shared" si="4"/>
        <v>91.771183848271647</v>
      </c>
    </row>
    <row r="7" spans="1:9" x14ac:dyDescent="0.3">
      <c r="A7" s="38" t="s">
        <v>52</v>
      </c>
      <c r="B7" s="38">
        <v>1000</v>
      </c>
      <c r="C7" s="32"/>
      <c r="D7" s="34">
        <v>10</v>
      </c>
      <c r="E7" s="32">
        <f t="shared" si="0"/>
        <v>1.5295197308045274E-4</v>
      </c>
      <c r="F7" s="32">
        <f t="shared" si="2"/>
        <v>1.5295197308045276</v>
      </c>
      <c r="G7" s="35">
        <f t="shared" si="3"/>
        <v>1529.5197308045276</v>
      </c>
      <c r="H7" s="36">
        <f t="shared" si="1"/>
        <v>0.15295197308045277</v>
      </c>
      <c r="I7" s="37">
        <f t="shared" si="4"/>
        <v>152.95197308045277</v>
      </c>
    </row>
    <row r="8" spans="1:9" x14ac:dyDescent="0.3">
      <c r="A8" s="39" t="s">
        <v>52</v>
      </c>
      <c r="B8" s="39">
        <v>100</v>
      </c>
      <c r="C8" s="32"/>
      <c r="D8" s="34">
        <v>20</v>
      </c>
      <c r="E8" s="32">
        <f t="shared" si="0"/>
        <v>3.0590394616090549E-4</v>
      </c>
      <c r="F8" s="32">
        <f t="shared" si="2"/>
        <v>3.0590394616090553</v>
      </c>
      <c r="G8" s="37">
        <f t="shared" si="3"/>
        <v>3059.0394616090553</v>
      </c>
      <c r="H8" s="36">
        <f t="shared" si="1"/>
        <v>0.30590394616090555</v>
      </c>
      <c r="I8" s="40">
        <f t="shared" si="4"/>
        <v>305.90394616090555</v>
      </c>
    </row>
    <row r="9" spans="1:9" x14ac:dyDescent="0.3">
      <c r="A9" s="32"/>
      <c r="B9" s="32"/>
      <c r="C9" s="32"/>
      <c r="D9" s="41">
        <v>40</v>
      </c>
      <c r="E9" s="32">
        <f t="shared" si="0"/>
        <v>6.1180789232181097E-4</v>
      </c>
      <c r="F9" s="32">
        <f t="shared" si="2"/>
        <v>6.1180789232181105</v>
      </c>
      <c r="G9" s="37">
        <f t="shared" si="3"/>
        <v>6118.0789232181105</v>
      </c>
      <c r="H9" s="36">
        <f t="shared" si="1"/>
        <v>0.6118078923218111</v>
      </c>
      <c r="I9" s="40">
        <f t="shared" si="4"/>
        <v>611.8078923218111</v>
      </c>
    </row>
    <row r="10" spans="1:9" x14ac:dyDescent="0.3">
      <c r="A10" s="32"/>
      <c r="B10" s="32"/>
      <c r="C10" s="32"/>
      <c r="D10" s="34">
        <v>60</v>
      </c>
      <c r="E10" s="32">
        <f t="shared" si="0"/>
        <v>9.1771183848271651E-4</v>
      </c>
      <c r="F10" s="32">
        <f t="shared" si="2"/>
        <v>9.1771183848271658</v>
      </c>
      <c r="G10" s="37">
        <f t="shared" si="3"/>
        <v>9177.1183848271667</v>
      </c>
      <c r="H10" s="36">
        <f t="shared" si="1"/>
        <v>0.91771183848271665</v>
      </c>
      <c r="I10" s="40">
        <f t="shared" si="4"/>
        <v>917.71183848271664</v>
      </c>
    </row>
    <row r="11" spans="1:9" x14ac:dyDescent="0.3">
      <c r="A11" s="32"/>
      <c r="B11" s="32"/>
      <c r="C11" s="32"/>
      <c r="D11" s="34">
        <v>100</v>
      </c>
      <c r="E11" s="32">
        <f t="shared" si="0"/>
        <v>1.5295197308045276E-3</v>
      </c>
      <c r="F11" s="32">
        <f t="shared" si="2"/>
        <v>15.295197308045278</v>
      </c>
      <c r="G11" s="37">
        <f t="shared" si="3"/>
        <v>15295.197308045279</v>
      </c>
      <c r="H11" s="36">
        <f t="shared" si="1"/>
        <v>1.5295197308045276</v>
      </c>
      <c r="I11" s="40">
        <f t="shared" si="4"/>
        <v>1529.5197308045276</v>
      </c>
    </row>
    <row r="12" spans="1:9" x14ac:dyDescent="0.3">
      <c r="A12" s="32"/>
      <c r="B12" s="32"/>
      <c r="C12" s="32"/>
      <c r="D12" s="34">
        <v>150</v>
      </c>
      <c r="E12" s="32">
        <f t="shared" si="0"/>
        <v>2.2942795962067912E-3</v>
      </c>
      <c r="F12" s="32">
        <f t="shared" si="2"/>
        <v>22.942795962067912</v>
      </c>
      <c r="G12" s="37">
        <f t="shared" si="3"/>
        <v>22942.79596206791</v>
      </c>
      <c r="H12" s="36">
        <f t="shared" si="1"/>
        <v>2.2942795962067914</v>
      </c>
      <c r="I12" s="40">
        <f t="shared" si="4"/>
        <v>2294.2795962067917</v>
      </c>
    </row>
    <row r="13" spans="1:9" x14ac:dyDescent="0.3">
      <c r="A13" s="32"/>
      <c r="B13" s="32"/>
      <c r="C13" s="32"/>
      <c r="D13" s="32"/>
      <c r="E13" s="32"/>
      <c r="F13" s="32"/>
      <c r="G13" s="32"/>
      <c r="H13" s="32"/>
      <c r="I13" s="32"/>
    </row>
    <row r="14" spans="1:9" x14ac:dyDescent="0.3">
      <c r="A14" s="32" t="s">
        <v>53</v>
      </c>
      <c r="B14" s="32">
        <v>5.7511999999999999</v>
      </c>
      <c r="C14" s="32"/>
      <c r="D14" s="32"/>
      <c r="E14" s="32"/>
      <c r="F14" s="32"/>
      <c r="G14" s="32"/>
      <c r="H14" s="32"/>
      <c r="I14" s="32"/>
    </row>
    <row r="17" spans="1:9" x14ac:dyDescent="0.3">
      <c r="A17" s="32"/>
      <c r="B17" s="32"/>
      <c r="C17" s="32"/>
      <c r="D17" s="33" t="s">
        <v>54</v>
      </c>
      <c r="E17" s="32"/>
      <c r="F17" s="32"/>
      <c r="G17" s="32"/>
      <c r="H17" s="32"/>
      <c r="I17" s="32"/>
    </row>
    <row r="18" spans="1:9" x14ac:dyDescent="0.3">
      <c r="A18" s="32" t="s">
        <v>44</v>
      </c>
      <c r="B18" s="32">
        <v>65.38</v>
      </c>
      <c r="C18" s="32"/>
      <c r="D18" s="33" t="s">
        <v>5</v>
      </c>
      <c r="E18" s="32" t="s">
        <v>17</v>
      </c>
      <c r="F18" s="32" t="s">
        <v>47</v>
      </c>
      <c r="G18" s="32" t="s">
        <v>46</v>
      </c>
      <c r="H18" s="32" t="s">
        <v>45</v>
      </c>
      <c r="I18" s="32" t="s">
        <v>46</v>
      </c>
    </row>
    <row r="19" spans="1:9" x14ac:dyDescent="0.3">
      <c r="A19" s="32" t="s">
        <v>104</v>
      </c>
      <c r="B19" s="32">
        <v>136.286</v>
      </c>
      <c r="C19" s="32"/>
      <c r="D19" s="34">
        <v>1</v>
      </c>
      <c r="E19" s="32">
        <f>D19/1000/$B$18</f>
        <v>1.5295197308045274E-5</v>
      </c>
      <c r="F19" s="32">
        <f t="shared" ref="F19:F30" si="5">(E19*$B$24)/$B$21</f>
        <v>0.15295197308045275</v>
      </c>
      <c r="G19" s="35">
        <f>F19*1000</f>
        <v>152.95197308045275</v>
      </c>
      <c r="H19" s="36">
        <f t="shared" ref="H19:H30" si="6">(E19*$B$25)/$B$21</f>
        <v>1.5295197308045275E-2</v>
      </c>
      <c r="I19" s="37">
        <f t="shared" ref="I19:I28" si="7">H19*1000</f>
        <v>15.295197308045275</v>
      </c>
    </row>
    <row r="20" spans="1:9" x14ac:dyDescent="0.3">
      <c r="A20" s="32"/>
      <c r="B20" s="32"/>
      <c r="C20" s="32"/>
      <c r="D20" s="34">
        <v>2</v>
      </c>
      <c r="E20" s="32">
        <f t="shared" ref="E20:E27" si="8">D20/1000/$B$18</f>
        <v>3.0590394616090547E-5</v>
      </c>
      <c r="F20" s="32">
        <f t="shared" si="5"/>
        <v>0.30590394616090549</v>
      </c>
      <c r="G20" s="35">
        <f t="shared" ref="G20:G28" si="9">F20*1000</f>
        <v>305.90394616090549</v>
      </c>
      <c r="H20" s="36">
        <f t="shared" si="6"/>
        <v>3.059039461609055E-2</v>
      </c>
      <c r="I20" s="37">
        <f t="shared" si="7"/>
        <v>30.590394616090549</v>
      </c>
    </row>
    <row r="21" spans="1:9" x14ac:dyDescent="0.3">
      <c r="A21" s="32" t="s">
        <v>48</v>
      </c>
      <c r="B21" s="32">
        <f>B31/B19/0.2</f>
        <v>9.9999999999999992E-2</v>
      </c>
      <c r="C21" s="32"/>
      <c r="D21" s="34">
        <v>4</v>
      </c>
      <c r="E21" s="32">
        <f t="shared" si="8"/>
        <v>6.1180789232181094E-5</v>
      </c>
      <c r="F21" s="32">
        <f t="shared" si="5"/>
        <v>0.61180789232181099</v>
      </c>
      <c r="G21" s="35">
        <f>F21*1000</f>
        <v>611.80789232181098</v>
      </c>
      <c r="H21" s="36">
        <f t="shared" si="6"/>
        <v>6.11807892321811E-2</v>
      </c>
      <c r="I21" s="37">
        <f t="shared" si="7"/>
        <v>61.180789232181098</v>
      </c>
    </row>
    <row r="22" spans="1:9" x14ac:dyDescent="0.3">
      <c r="A22" s="32"/>
      <c r="B22" s="32"/>
      <c r="C22" s="32"/>
      <c r="D22" s="34">
        <v>6</v>
      </c>
      <c r="E22" s="32">
        <f t="shared" si="8"/>
        <v>9.1771183848271648E-5</v>
      </c>
      <c r="F22" s="32">
        <f t="shared" si="5"/>
        <v>0.91771183848271665</v>
      </c>
      <c r="G22" s="35">
        <f>F22*1000</f>
        <v>917.71183848271664</v>
      </c>
      <c r="H22" s="36">
        <f t="shared" si="6"/>
        <v>9.1771183848271654E-2</v>
      </c>
      <c r="I22" s="37">
        <f t="shared" si="7"/>
        <v>91.771183848271647</v>
      </c>
    </row>
    <row r="23" spans="1:9" x14ac:dyDescent="0.3">
      <c r="A23" s="32"/>
      <c r="B23" s="32"/>
      <c r="C23" s="32"/>
      <c r="D23" s="34">
        <v>8</v>
      </c>
      <c r="E23" s="32">
        <f t="shared" si="8"/>
        <v>1.2236157846436219E-4</v>
      </c>
      <c r="F23" s="32">
        <f t="shared" si="5"/>
        <v>1.223615784643622</v>
      </c>
      <c r="G23" s="35">
        <f>F23*1000</f>
        <v>1223.615784643622</v>
      </c>
      <c r="H23" s="36">
        <f t="shared" si="6"/>
        <v>0.1223615784643622</v>
      </c>
      <c r="I23" s="37">
        <f t="shared" si="7"/>
        <v>122.3615784643622</v>
      </c>
    </row>
    <row r="24" spans="1:9" x14ac:dyDescent="0.3">
      <c r="A24" s="38" t="s">
        <v>52</v>
      </c>
      <c r="B24" s="38">
        <v>1000</v>
      </c>
      <c r="C24" s="32"/>
      <c r="D24" s="34">
        <v>10</v>
      </c>
      <c r="E24" s="32">
        <f t="shared" si="8"/>
        <v>1.5295197308045274E-4</v>
      </c>
      <c r="F24" s="32">
        <f t="shared" si="5"/>
        <v>1.5295197308045276</v>
      </c>
      <c r="G24" s="35">
        <f>F24*1000</f>
        <v>1529.5197308045276</v>
      </c>
      <c r="H24" s="36">
        <f t="shared" si="6"/>
        <v>0.15295197308045277</v>
      </c>
      <c r="I24" s="37">
        <f t="shared" si="7"/>
        <v>152.95197308045277</v>
      </c>
    </row>
    <row r="25" spans="1:9" x14ac:dyDescent="0.3">
      <c r="A25" s="39" t="s">
        <v>52</v>
      </c>
      <c r="B25" s="39">
        <v>100</v>
      </c>
      <c r="C25" s="32"/>
      <c r="D25" s="34">
        <v>20</v>
      </c>
      <c r="E25" s="32">
        <f>D25/1000/$B$18</f>
        <v>3.0590394616090549E-4</v>
      </c>
      <c r="F25" s="32">
        <f t="shared" si="5"/>
        <v>3.0590394616090553</v>
      </c>
      <c r="G25" s="37">
        <f t="shared" si="9"/>
        <v>3059.0394616090553</v>
      </c>
      <c r="H25" s="36">
        <f t="shared" si="6"/>
        <v>0.30590394616090555</v>
      </c>
      <c r="I25" s="40">
        <f t="shared" si="7"/>
        <v>305.90394616090555</v>
      </c>
    </row>
    <row r="26" spans="1:9" x14ac:dyDescent="0.3">
      <c r="A26" s="39"/>
      <c r="B26" s="39"/>
      <c r="C26" s="32"/>
      <c r="D26" s="34">
        <v>30</v>
      </c>
      <c r="E26" s="32">
        <f>D26/1000/$B$18</f>
        <v>4.5885591924135825E-4</v>
      </c>
      <c r="F26" s="32">
        <f t="shared" si="5"/>
        <v>4.5885591924135829</v>
      </c>
      <c r="G26" s="37">
        <f t="shared" si="9"/>
        <v>4588.5591924135833</v>
      </c>
      <c r="H26" s="36">
        <f t="shared" si="6"/>
        <v>0.45885591924135832</v>
      </c>
      <c r="I26" s="40">
        <f t="shared" ref="I26" si="10">H26*1000</f>
        <v>458.85591924135832</v>
      </c>
    </row>
    <row r="27" spans="1:9" x14ac:dyDescent="0.3">
      <c r="A27" s="32"/>
      <c r="B27" s="32"/>
      <c r="C27" s="32"/>
      <c r="D27" s="41">
        <v>40</v>
      </c>
      <c r="E27" s="32">
        <f t="shared" si="8"/>
        <v>6.1180789232181097E-4</v>
      </c>
      <c r="F27" s="32">
        <f t="shared" si="5"/>
        <v>6.1180789232181105</v>
      </c>
      <c r="G27" s="37">
        <f t="shared" si="9"/>
        <v>6118.0789232181105</v>
      </c>
      <c r="H27" s="36">
        <f t="shared" si="6"/>
        <v>0.6118078923218111</v>
      </c>
      <c r="I27" s="40">
        <f t="shared" si="7"/>
        <v>611.8078923218111</v>
      </c>
    </row>
    <row r="28" spans="1:9" x14ac:dyDescent="0.3">
      <c r="A28" s="32"/>
      <c r="B28" s="32"/>
      <c r="C28" s="32"/>
      <c r="D28" s="41">
        <v>50</v>
      </c>
      <c r="E28" s="32">
        <f>D28/1000/$B$18</f>
        <v>7.6475986540226379E-4</v>
      </c>
      <c r="F28" s="32">
        <f t="shared" si="5"/>
        <v>7.6475986540226391</v>
      </c>
      <c r="G28" s="37">
        <f t="shared" si="9"/>
        <v>7647.5986540226395</v>
      </c>
      <c r="H28" s="36">
        <f t="shared" si="6"/>
        <v>0.76475986540226382</v>
      </c>
      <c r="I28" s="40">
        <f t="shared" si="7"/>
        <v>764.75986540226381</v>
      </c>
    </row>
    <row r="29" spans="1:9" x14ac:dyDescent="0.3">
      <c r="A29" s="32"/>
      <c r="B29" s="32"/>
      <c r="C29" s="32"/>
      <c r="D29" s="34">
        <v>100</v>
      </c>
      <c r="E29" s="32">
        <f>D29/1000/$B$18</f>
        <v>1.5295197308045276E-3</v>
      </c>
      <c r="F29" s="32">
        <f t="shared" si="5"/>
        <v>15.295197308045278</v>
      </c>
      <c r="G29" s="37">
        <f>F29*1000</f>
        <v>15295.197308045279</v>
      </c>
      <c r="H29" s="36">
        <f t="shared" si="6"/>
        <v>1.5295197308045276</v>
      </c>
      <c r="I29" s="40">
        <f t="shared" ref="I29:I30" si="11">H29*1000</f>
        <v>1529.5197308045276</v>
      </c>
    </row>
    <row r="30" spans="1:9" x14ac:dyDescent="0.3">
      <c r="A30" s="32"/>
      <c r="B30" s="32"/>
      <c r="C30" s="32"/>
      <c r="D30" s="34">
        <v>150</v>
      </c>
      <c r="E30" s="32">
        <f>D30/1000/$B$18</f>
        <v>2.2942795962067912E-3</v>
      </c>
      <c r="F30" s="32">
        <f t="shared" si="5"/>
        <v>22.942795962067912</v>
      </c>
      <c r="G30" s="37">
        <f>F30*1000</f>
        <v>22942.79596206791</v>
      </c>
      <c r="H30" s="36">
        <f t="shared" si="6"/>
        <v>2.2942795962067914</v>
      </c>
      <c r="I30" s="40">
        <f t="shared" si="11"/>
        <v>2294.2795962067917</v>
      </c>
    </row>
    <row r="31" spans="1:9" x14ac:dyDescent="0.3">
      <c r="A31" s="32" t="s">
        <v>105</v>
      </c>
      <c r="B31" s="32">
        <v>2.7257199999999999</v>
      </c>
      <c r="C31" s="32"/>
      <c r="D31" s="32"/>
      <c r="E31" s="32"/>
      <c r="F31" s="32"/>
      <c r="G31" s="32"/>
      <c r="H31" s="32"/>
      <c r="I31" s="32"/>
    </row>
    <row r="34" spans="1:8" x14ac:dyDescent="0.3">
      <c r="A34" t="s">
        <v>107</v>
      </c>
    </row>
    <row r="35" spans="1:8" x14ac:dyDescent="0.3">
      <c r="A35" t="s">
        <v>108</v>
      </c>
      <c r="B35">
        <f>B31</f>
        <v>2.7257199999999999</v>
      </c>
      <c r="C35" t="s">
        <v>111</v>
      </c>
      <c r="G35">
        <v>2.7320000000000002</v>
      </c>
      <c r="H35" t="s">
        <v>115</v>
      </c>
    </row>
    <row r="36" spans="1:8" x14ac:dyDescent="0.3">
      <c r="A36" t="s">
        <v>109</v>
      </c>
      <c r="B36">
        <f>H28</f>
        <v>0.76475986540226382</v>
      </c>
      <c r="C36" t="s">
        <v>110</v>
      </c>
      <c r="E36" s="43" t="s">
        <v>116</v>
      </c>
      <c r="G36">
        <v>7.65</v>
      </c>
      <c r="H36" t="s">
        <v>114</v>
      </c>
    </row>
    <row r="38" spans="1:8" x14ac:dyDescent="0.3">
      <c r="A38" t="s">
        <v>112</v>
      </c>
      <c r="B38">
        <v>2</v>
      </c>
      <c r="C38">
        <v>10</v>
      </c>
      <c r="D38">
        <v>30</v>
      </c>
      <c r="E38">
        <v>50</v>
      </c>
      <c r="F38" t="s">
        <v>16</v>
      </c>
    </row>
    <row r="39" spans="1:8" x14ac:dyDescent="0.3">
      <c r="A39" t="s">
        <v>113</v>
      </c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M9" sqref="M9"/>
    </sheetView>
  </sheetViews>
  <sheetFormatPr defaultRowHeight="14.4" x14ac:dyDescent="0.3"/>
  <cols>
    <col min="1" max="1" width="5.88671875" style="27" customWidth="1"/>
    <col min="2" max="2" width="12.6640625" customWidth="1"/>
    <col min="3" max="3" width="10.6640625" customWidth="1"/>
    <col min="4" max="4" width="10.33203125" customWidth="1"/>
    <col min="5" max="5" width="8" customWidth="1"/>
    <col min="6" max="6" width="10.33203125" customWidth="1"/>
    <col min="7" max="7" width="9.88671875" customWidth="1"/>
    <col min="8" max="8" width="8.33203125" customWidth="1"/>
    <col min="9" max="9" width="12" style="21" bestFit="1" customWidth="1"/>
    <col min="10" max="10" width="8.33203125" style="23" customWidth="1"/>
    <col min="11" max="11" width="11.109375" style="23" customWidth="1"/>
    <col min="12" max="12" width="9.33203125" customWidth="1"/>
    <col min="13" max="13" width="24" customWidth="1"/>
  </cols>
  <sheetData>
    <row r="1" spans="1:14" x14ac:dyDescent="0.3">
      <c r="M1" t="s">
        <v>103</v>
      </c>
    </row>
    <row r="2" spans="1:14" x14ac:dyDescent="0.3">
      <c r="B2" t="s">
        <v>102</v>
      </c>
      <c r="D2">
        <f>0.00000000000000005</f>
        <v>4.9999999999999999E-17</v>
      </c>
      <c r="E2" t="s">
        <v>98</v>
      </c>
      <c r="M2" t="s">
        <v>101</v>
      </c>
      <c r="N2" t="s">
        <v>100</v>
      </c>
    </row>
    <row r="3" spans="1:14" x14ac:dyDescent="0.3">
      <c r="B3" t="s">
        <v>99</v>
      </c>
      <c r="D3">
        <f>0.00000000000001</f>
        <v>1E-14</v>
      </c>
      <c r="E3" t="s">
        <v>98</v>
      </c>
      <c r="N3" t="s">
        <v>97</v>
      </c>
    </row>
    <row r="4" spans="1:14" x14ac:dyDescent="0.3">
      <c r="B4" t="s">
        <v>96</v>
      </c>
      <c r="D4" s="42">
        <v>50</v>
      </c>
      <c r="L4" t="s">
        <v>95</v>
      </c>
      <c r="M4" t="s">
        <v>94</v>
      </c>
      <c r="N4" t="s">
        <v>93</v>
      </c>
    </row>
    <row r="5" spans="1:14" x14ac:dyDescent="0.3">
      <c r="B5" t="s">
        <v>92</v>
      </c>
      <c r="D5" s="42">
        <v>5</v>
      </c>
      <c r="E5" s="47" t="s">
        <v>125</v>
      </c>
      <c r="F5" s="45">
        <v>0.02</v>
      </c>
      <c r="G5" s="45">
        <v>0.05</v>
      </c>
      <c r="H5" s="45">
        <v>0.2</v>
      </c>
      <c r="I5" s="21">
        <v>0.5</v>
      </c>
      <c r="J5" s="21">
        <v>2</v>
      </c>
      <c r="K5" s="21">
        <v>5</v>
      </c>
      <c r="L5" t="s">
        <v>91</v>
      </c>
      <c r="M5" t="s">
        <v>90</v>
      </c>
    </row>
    <row r="6" spans="1:14" x14ac:dyDescent="0.3">
      <c r="B6" t="s">
        <v>89</v>
      </c>
      <c r="D6">
        <f>D5/1000</f>
        <v>5.0000000000000001E-3</v>
      </c>
      <c r="E6" s="46">
        <f>0.03*0.03</f>
        <v>8.9999999999999998E-4</v>
      </c>
      <c r="F6" s="48">
        <f>F5/$E$6/1000</f>
        <v>2.2222222222222227E-2</v>
      </c>
      <c r="G6" s="48">
        <f t="shared" ref="G6:J6" si="0">G5/$E$6/1000</f>
        <v>5.5555555555555559E-2</v>
      </c>
      <c r="H6" s="48">
        <f t="shared" si="0"/>
        <v>0.22222222222222224</v>
      </c>
      <c r="I6" s="48">
        <f t="shared" si="0"/>
        <v>0.55555555555555558</v>
      </c>
      <c r="J6" s="48">
        <f t="shared" si="0"/>
        <v>2.2222222222222223</v>
      </c>
      <c r="K6" s="48">
        <f>K5/$E$6/1000</f>
        <v>5.5555555555555554</v>
      </c>
      <c r="L6" t="s">
        <v>124</v>
      </c>
    </row>
    <row r="8" spans="1:14" x14ac:dyDescent="0.3">
      <c r="A8" t="s">
        <v>88</v>
      </c>
      <c r="B8" t="s">
        <v>88</v>
      </c>
      <c r="C8" t="s">
        <v>88</v>
      </c>
      <c r="D8" t="s">
        <v>87</v>
      </c>
      <c r="E8" t="s">
        <v>86</v>
      </c>
      <c r="F8" t="s">
        <v>85</v>
      </c>
      <c r="G8" t="s">
        <v>84</v>
      </c>
      <c r="H8" t="s">
        <v>83</v>
      </c>
      <c r="I8" s="21" t="s">
        <v>82</v>
      </c>
      <c r="J8" s="23" t="s">
        <v>82</v>
      </c>
      <c r="K8" s="21" t="s">
        <v>81</v>
      </c>
    </row>
    <row r="9" spans="1:14" x14ac:dyDescent="0.3">
      <c r="A9" s="27" t="s">
        <v>16</v>
      </c>
      <c r="B9" t="s">
        <v>0</v>
      </c>
      <c r="C9" t="s">
        <v>17</v>
      </c>
      <c r="D9" t="s">
        <v>17</v>
      </c>
      <c r="F9" t="s">
        <v>17</v>
      </c>
      <c r="G9" t="s">
        <v>80</v>
      </c>
      <c r="H9" t="s">
        <v>26</v>
      </c>
      <c r="I9" s="21" t="s">
        <v>79</v>
      </c>
      <c r="J9" s="23" t="s">
        <v>78</v>
      </c>
      <c r="K9" s="21" t="s">
        <v>77</v>
      </c>
    </row>
    <row r="10" spans="1:14" x14ac:dyDescent="0.3">
      <c r="A10" s="31">
        <f>B10*$N$14</f>
        <v>3.2690000000000001</v>
      </c>
      <c r="B10" s="21">
        <v>0.05</v>
      </c>
      <c r="C10" s="21">
        <f>B10/1000</f>
        <v>5.0000000000000002E-5</v>
      </c>
      <c r="D10" s="30">
        <f>SQRT($D$2/C10)</f>
        <v>9.9999999999999995E-7</v>
      </c>
      <c r="E10" s="22">
        <f>-LOG($D$3/D10)</f>
        <v>8</v>
      </c>
      <c r="F10" s="30">
        <f>(D10-$D$36)+(C10*2)</f>
        <v>1.009E-4</v>
      </c>
      <c r="G10" s="14">
        <f>(F10*$D$4)/1000</f>
        <v>5.045E-6</v>
      </c>
      <c r="H10" s="30">
        <f>G10*$N$22</f>
        <v>0.48676852264250003</v>
      </c>
      <c r="I10" s="22">
        <f>H10/$D$6</f>
        <v>97.353704528500003</v>
      </c>
      <c r="J10" s="24">
        <f>I10/3600</f>
        <v>2.7042695702361112E-2</v>
      </c>
      <c r="K10">
        <f>((C10*$D$4)/1000)*$N$17*1000</f>
        <v>0.24856000000000006</v>
      </c>
      <c r="M10" t="s">
        <v>76</v>
      </c>
      <c r="N10">
        <f>(N15/1000)*N11</f>
        <v>0.63279169570480132</v>
      </c>
    </row>
    <row r="11" spans="1:14" x14ac:dyDescent="0.3">
      <c r="A11" s="27">
        <f t="shared" ref="A11:A32" si="1">B11*$N$14</f>
        <v>6.5380000000000003</v>
      </c>
      <c r="B11">
        <v>0.1</v>
      </c>
      <c r="C11" s="21">
        <f t="shared" ref="C11:C32" si="2">B11/1000</f>
        <v>1E-4</v>
      </c>
      <c r="D11" s="30">
        <f t="shared" ref="D11:D32" si="3">SQRT($D$2/C11)</f>
        <v>7.0710678118654747E-7</v>
      </c>
      <c r="E11" s="13">
        <f>-LOG($D$3/D11)</f>
        <v>7.8494850021680094</v>
      </c>
      <c r="F11" s="30">
        <f t="shared" ref="F11:F32" si="4">(D11-$D$36)+(C11*2)</f>
        <v>2.0060710678118657E-4</v>
      </c>
      <c r="G11" s="14">
        <f t="shared" ref="G11:G32" si="5">(F11*$D$4)/1000</f>
        <v>1.0030355339059328E-5</v>
      </c>
      <c r="H11" s="14">
        <f t="shared" ref="H11:H32" si="6">G11*$N$22</f>
        <v>0.9677822101037109</v>
      </c>
      <c r="I11" s="22">
        <f t="shared" ref="I11:I16" si="7">H11/$D$6</f>
        <v>193.55644202074217</v>
      </c>
      <c r="J11" s="24">
        <f>I11/3600</f>
        <v>5.3765678339095048E-2</v>
      </c>
      <c r="K11">
        <f>((C11*$D$4)/1000)*$N$17*1000</f>
        <v>0.49712000000000012</v>
      </c>
      <c r="M11" t="s">
        <v>75</v>
      </c>
      <c r="N11">
        <v>287.52999999999997</v>
      </c>
    </row>
    <row r="12" spans="1:14" x14ac:dyDescent="0.3">
      <c r="A12" s="27">
        <f t="shared" si="1"/>
        <v>13.076000000000001</v>
      </c>
      <c r="B12">
        <v>0.2</v>
      </c>
      <c r="C12" s="21">
        <f t="shared" si="2"/>
        <v>2.0000000000000001E-4</v>
      </c>
      <c r="D12" s="30">
        <f t="shared" si="3"/>
        <v>4.9999999999999998E-7</v>
      </c>
      <c r="E12" s="13">
        <f t="shared" ref="E12:E32" si="8">-LOG($D$3/D12)</f>
        <v>7.6989700043360187</v>
      </c>
      <c r="F12" s="30">
        <f t="shared" si="4"/>
        <v>4.0040000000000003E-4</v>
      </c>
      <c r="G12" s="14">
        <f t="shared" si="5"/>
        <v>2.0020000000000001E-5</v>
      </c>
      <c r="H12" s="14">
        <f t="shared" si="6"/>
        <v>1.9316364367300003</v>
      </c>
      <c r="I12" s="22">
        <f t="shared" si="7"/>
        <v>386.32728734600005</v>
      </c>
      <c r="J12" s="24">
        <f t="shared" ref="J12:J32" si="9">I12/3600</f>
        <v>0.1073131353738889</v>
      </c>
      <c r="K12">
        <f>((C12*$D$4)/1000)*$N$17*1000</f>
        <v>0.99424000000000023</v>
      </c>
      <c r="M12" t="s">
        <v>74</v>
      </c>
      <c r="N12">
        <v>0.3</v>
      </c>
    </row>
    <row r="13" spans="1:14" x14ac:dyDescent="0.3">
      <c r="A13" s="27">
        <f t="shared" si="1"/>
        <v>19.613999999999997</v>
      </c>
      <c r="B13">
        <v>0.3</v>
      </c>
      <c r="C13" s="21">
        <f t="shared" si="2"/>
        <v>2.9999999999999997E-4</v>
      </c>
      <c r="D13" s="30">
        <f t="shared" si="3"/>
        <v>4.0824829046386305E-7</v>
      </c>
      <c r="E13" s="13">
        <f t="shared" si="8"/>
        <v>7.6109243748081781</v>
      </c>
      <c r="F13" s="30">
        <f t="shared" si="4"/>
        <v>6.0030824829046384E-4</v>
      </c>
      <c r="G13" s="14">
        <f t="shared" si="5"/>
        <v>3.0015412414523193E-5</v>
      </c>
      <c r="H13" s="14">
        <f t="shared" si="6"/>
        <v>2.896047167001548</v>
      </c>
      <c r="I13" s="22">
        <f t="shared" si="7"/>
        <v>579.20943340030954</v>
      </c>
      <c r="J13" s="24">
        <f t="shared" si="9"/>
        <v>0.16089150927786375</v>
      </c>
      <c r="K13">
        <f>((C13*$D$4)/1000)*$N$17*1000</f>
        <v>1.49136</v>
      </c>
      <c r="M13" t="s">
        <v>73</v>
      </c>
      <c r="N13">
        <v>136.315</v>
      </c>
    </row>
    <row r="14" spans="1:14" x14ac:dyDescent="0.3">
      <c r="A14" s="27">
        <f t="shared" si="1"/>
        <v>26.152000000000001</v>
      </c>
      <c r="B14">
        <v>0.4</v>
      </c>
      <c r="C14" s="21">
        <f t="shared" si="2"/>
        <v>4.0000000000000002E-4</v>
      </c>
      <c r="D14" s="30">
        <f t="shared" si="3"/>
        <v>3.5355339059327374E-7</v>
      </c>
      <c r="E14" s="13">
        <f t="shared" si="8"/>
        <v>7.5484550065040281</v>
      </c>
      <c r="F14" s="30">
        <f t="shared" si="4"/>
        <v>8.0025355339059334E-4</v>
      </c>
      <c r="G14" s="14">
        <f t="shared" si="5"/>
        <v>4.0012677669529666E-5</v>
      </c>
      <c r="H14" s="14">
        <f t="shared" si="6"/>
        <v>3.860636669210606</v>
      </c>
      <c r="I14" s="22">
        <f t="shared" si="7"/>
        <v>772.12733384212117</v>
      </c>
      <c r="J14" s="24">
        <f t="shared" si="9"/>
        <v>0.21447981495614477</v>
      </c>
      <c r="K14">
        <f t="shared" ref="K14:K32" si="10">((C14*$D$4)/1000)*$N$17*1000</f>
        <v>1.9884800000000005</v>
      </c>
      <c r="M14" t="s">
        <v>72</v>
      </c>
      <c r="N14">
        <v>65.38</v>
      </c>
    </row>
    <row r="15" spans="1:14" x14ac:dyDescent="0.3">
      <c r="A15" s="27">
        <f t="shared" si="1"/>
        <v>32.69</v>
      </c>
      <c r="B15">
        <v>0.5</v>
      </c>
      <c r="C15" s="21">
        <f t="shared" si="2"/>
        <v>5.0000000000000001E-4</v>
      </c>
      <c r="D15" s="30">
        <f t="shared" si="3"/>
        <v>3.1622776601683792E-7</v>
      </c>
      <c r="E15" s="13">
        <f t="shared" si="8"/>
        <v>7.5</v>
      </c>
      <c r="F15" s="30">
        <f t="shared" si="4"/>
        <v>1.0002162277660169E-3</v>
      </c>
      <c r="G15" s="14">
        <f t="shared" si="5"/>
        <v>5.0010811388300844E-5</v>
      </c>
      <c r="H15" s="14">
        <f t="shared" si="6"/>
        <v>4.8253099654382394</v>
      </c>
      <c r="I15" s="22">
        <f t="shared" si="7"/>
        <v>965.06199308764792</v>
      </c>
      <c r="J15" s="24">
        <f t="shared" si="9"/>
        <v>0.26807277585767997</v>
      </c>
      <c r="K15">
        <f t="shared" si="10"/>
        <v>2.4856000000000003</v>
      </c>
      <c r="M15" t="s">
        <v>71</v>
      </c>
      <c r="N15">
        <f>N12/N13*1000</f>
        <v>2.2007849466309648</v>
      </c>
    </row>
    <row r="16" spans="1:14" x14ac:dyDescent="0.3">
      <c r="A16" s="27">
        <f t="shared" si="1"/>
        <v>39.227999999999994</v>
      </c>
      <c r="B16">
        <v>0.6</v>
      </c>
      <c r="C16" s="21">
        <f t="shared" si="2"/>
        <v>5.9999999999999995E-4</v>
      </c>
      <c r="D16" s="30">
        <f t="shared" si="3"/>
        <v>2.8867513459481289E-7</v>
      </c>
      <c r="E16" s="13">
        <f t="shared" si="8"/>
        <v>7.4604093769761874</v>
      </c>
      <c r="F16" s="30">
        <f t="shared" si="4"/>
        <v>1.2001886751345948E-3</v>
      </c>
      <c r="G16" s="14">
        <f t="shared" si="5"/>
        <v>6.0009433756729733E-5</v>
      </c>
      <c r="H16" s="14">
        <f t="shared" si="6"/>
        <v>5.7900304091925276</v>
      </c>
      <c r="I16" s="22">
        <f t="shared" si="7"/>
        <v>1158.0060818385055</v>
      </c>
      <c r="J16" s="24">
        <f t="shared" si="9"/>
        <v>0.32166835606625149</v>
      </c>
      <c r="K16">
        <f t="shared" si="10"/>
        <v>2.98272</v>
      </c>
    </row>
    <row r="17" spans="1:14" x14ac:dyDescent="0.3">
      <c r="A17" s="27">
        <f t="shared" si="1"/>
        <v>45.765999999999991</v>
      </c>
      <c r="B17">
        <v>0.7</v>
      </c>
      <c r="C17" s="21">
        <f t="shared" si="2"/>
        <v>6.9999999999999999E-4</v>
      </c>
      <c r="D17" s="30">
        <f t="shared" si="3"/>
        <v>2.6726124191242439E-7</v>
      </c>
      <c r="E17" s="13">
        <f t="shared" si="8"/>
        <v>7.4269359821608809</v>
      </c>
      <c r="F17" s="30">
        <f t="shared" si="4"/>
        <v>1.4001672612419123E-3</v>
      </c>
      <c r="G17" s="14">
        <f t="shared" si="5"/>
        <v>7.0008363062095617E-5</v>
      </c>
      <c r="H17" s="14">
        <f t="shared" si="6"/>
        <v>6.7547804678604662</v>
      </c>
      <c r="I17" s="22">
        <f t="shared" ref="I17:I32" si="11">H17/$D$6</f>
        <v>1350.9560935720931</v>
      </c>
      <c r="J17" s="24">
        <f t="shared" si="9"/>
        <v>0.37526558154780365</v>
      </c>
      <c r="K17">
        <f t="shared" si="10"/>
        <v>3.4798400000000003</v>
      </c>
      <c r="M17" t="s">
        <v>70</v>
      </c>
      <c r="N17">
        <v>99.424000000000007</v>
      </c>
    </row>
    <row r="18" spans="1:14" x14ac:dyDescent="0.3">
      <c r="A18" s="27">
        <f t="shared" si="1"/>
        <v>52.304000000000002</v>
      </c>
      <c r="B18">
        <v>0.8</v>
      </c>
      <c r="C18" s="21">
        <f t="shared" si="2"/>
        <v>8.0000000000000004E-4</v>
      </c>
      <c r="D18" s="30">
        <f t="shared" si="3"/>
        <v>2.4999999999999999E-7</v>
      </c>
      <c r="E18" s="13">
        <f t="shared" si="8"/>
        <v>7.3979400086720375</v>
      </c>
      <c r="F18" s="30">
        <f t="shared" si="4"/>
        <v>1.6001500000000001E-3</v>
      </c>
      <c r="G18" s="14">
        <f t="shared" si="5"/>
        <v>8.0007500000000003E-5</v>
      </c>
      <c r="H18" s="14">
        <f t="shared" si="6"/>
        <v>7.7195505600237508</v>
      </c>
      <c r="I18" s="22">
        <f t="shared" si="11"/>
        <v>1543.9101120047501</v>
      </c>
      <c r="J18" s="24">
        <f t="shared" si="9"/>
        <v>0.42886392000131945</v>
      </c>
      <c r="K18">
        <f t="shared" si="10"/>
        <v>3.9769600000000009</v>
      </c>
    </row>
    <row r="19" spans="1:14" x14ac:dyDescent="0.3">
      <c r="A19" s="27">
        <f t="shared" si="1"/>
        <v>58.841999999999999</v>
      </c>
      <c r="B19">
        <v>0.9</v>
      </c>
      <c r="C19" s="21">
        <f t="shared" si="2"/>
        <v>8.9999999999999998E-4</v>
      </c>
      <c r="D19" s="30">
        <f t="shared" si="3"/>
        <v>2.3570226039551583E-7</v>
      </c>
      <c r="E19" s="13">
        <f t="shared" si="8"/>
        <v>7.3723637474483468</v>
      </c>
      <c r="F19" s="30">
        <f t="shared" si="4"/>
        <v>1.8001357022603955E-3</v>
      </c>
      <c r="G19" s="14">
        <f t="shared" si="5"/>
        <v>9.0006785113019782E-5</v>
      </c>
      <c r="H19" s="14">
        <f t="shared" si="6"/>
        <v>8.6843349489129054</v>
      </c>
      <c r="I19" s="22">
        <f t="shared" si="11"/>
        <v>1736.866989782581</v>
      </c>
      <c r="J19" s="24">
        <f t="shared" si="9"/>
        <v>0.4824630527173836</v>
      </c>
      <c r="K19">
        <f t="shared" si="10"/>
        <v>4.4740799999999998</v>
      </c>
    </row>
    <row r="20" spans="1:14" x14ac:dyDescent="0.3">
      <c r="A20" s="27">
        <f t="shared" si="1"/>
        <v>65.38</v>
      </c>
      <c r="B20">
        <v>1</v>
      </c>
      <c r="C20" s="21">
        <f t="shared" si="2"/>
        <v>1E-3</v>
      </c>
      <c r="D20" s="30">
        <f t="shared" si="3"/>
        <v>2.2360679774997896E-7</v>
      </c>
      <c r="E20" s="13">
        <f t="shared" si="8"/>
        <v>7.3494850021680094</v>
      </c>
      <c r="F20" s="30">
        <f t="shared" si="4"/>
        <v>2.00012360679775E-3</v>
      </c>
      <c r="G20" s="14">
        <f t="shared" si="5"/>
        <v>1.0000618033988749E-4</v>
      </c>
      <c r="H20" s="14">
        <f t="shared" si="6"/>
        <v>9.6491299621737294</v>
      </c>
      <c r="I20" s="22">
        <f t="shared" si="11"/>
        <v>1929.8259924347458</v>
      </c>
      <c r="J20" s="24">
        <f t="shared" si="9"/>
        <v>0.53606277567631833</v>
      </c>
      <c r="K20">
        <f t="shared" si="10"/>
        <v>4.9712000000000005</v>
      </c>
      <c r="M20" s="18" t="s">
        <v>69</v>
      </c>
    </row>
    <row r="21" spans="1:14" x14ac:dyDescent="0.3">
      <c r="A21" s="27">
        <f t="shared" si="1"/>
        <v>71.918000000000006</v>
      </c>
      <c r="B21">
        <v>1.1000000000000001</v>
      </c>
      <c r="C21" s="21">
        <f t="shared" si="2"/>
        <v>1.1000000000000001E-3</v>
      </c>
      <c r="D21" s="30">
        <f t="shared" si="3"/>
        <v>2.1320071635561043E-7</v>
      </c>
      <c r="E21" s="13">
        <f t="shared" si="8"/>
        <v>7.3287886595888967</v>
      </c>
      <c r="F21" s="30">
        <f t="shared" si="4"/>
        <v>2.2001132007163559E-3</v>
      </c>
      <c r="G21" s="14">
        <f t="shared" si="5"/>
        <v>1.100056600358178E-4</v>
      </c>
      <c r="H21" s="14">
        <f t="shared" si="6"/>
        <v>10.613933125460484</v>
      </c>
      <c r="I21" s="22">
        <f t="shared" si="11"/>
        <v>2122.786625092097</v>
      </c>
      <c r="J21" s="24">
        <f t="shared" si="9"/>
        <v>0.58966295141447134</v>
      </c>
      <c r="K21">
        <f t="shared" si="10"/>
        <v>5.4683200000000003</v>
      </c>
      <c r="N21" t="s">
        <v>68</v>
      </c>
    </row>
    <row r="22" spans="1:14" x14ac:dyDescent="0.3">
      <c r="A22" s="27">
        <f t="shared" si="1"/>
        <v>78.455999999999989</v>
      </c>
      <c r="B22">
        <v>1.2</v>
      </c>
      <c r="C22" s="21">
        <f t="shared" si="2"/>
        <v>1.1999999999999999E-3</v>
      </c>
      <c r="D22" s="30">
        <f t="shared" si="3"/>
        <v>2.0412414523193152E-7</v>
      </c>
      <c r="E22" s="13">
        <f t="shared" si="8"/>
        <v>7.3098943791441968</v>
      </c>
      <c r="F22" s="30">
        <f t="shared" si="4"/>
        <v>2.4001041241452315E-3</v>
      </c>
      <c r="G22" s="14">
        <f t="shared" si="5"/>
        <v>1.2000520620726157E-4</v>
      </c>
      <c r="H22" s="14">
        <f t="shared" si="6"/>
        <v>11.578742702659522</v>
      </c>
      <c r="I22" s="22">
        <f t="shared" si="11"/>
        <v>2315.7485405319044</v>
      </c>
      <c r="J22" s="24">
        <f t="shared" si="9"/>
        <v>0.64326348348108453</v>
      </c>
      <c r="K22">
        <f t="shared" si="10"/>
        <v>5.9654400000000001</v>
      </c>
      <c r="M22" t="s">
        <v>28</v>
      </c>
      <c r="N22">
        <v>96485.336500000005</v>
      </c>
    </row>
    <row r="23" spans="1:14" x14ac:dyDescent="0.3">
      <c r="A23" s="27">
        <f t="shared" si="1"/>
        <v>84.994</v>
      </c>
      <c r="B23">
        <v>1.3</v>
      </c>
      <c r="C23" s="21">
        <f t="shared" si="2"/>
        <v>1.2999999999999999E-3</v>
      </c>
      <c r="D23" s="30">
        <f t="shared" si="3"/>
        <v>1.9611613513818402E-7</v>
      </c>
      <c r="E23" s="13">
        <f t="shared" si="8"/>
        <v>7.2925133260145909</v>
      </c>
      <c r="F23" s="30">
        <f t="shared" si="4"/>
        <v>2.6000961161351381E-3</v>
      </c>
      <c r="G23" s="14">
        <f t="shared" si="5"/>
        <v>1.300048058067569E-4</v>
      </c>
      <c r="H23" s="14">
        <f t="shared" si="6"/>
        <v>12.543557434882095</v>
      </c>
      <c r="I23" s="22">
        <f t="shared" si="11"/>
        <v>2508.7114869764187</v>
      </c>
      <c r="J23" s="24">
        <f t="shared" si="9"/>
        <v>0.69686430193789406</v>
      </c>
      <c r="K23">
        <f t="shared" si="10"/>
        <v>6.4625600000000007</v>
      </c>
    </row>
    <row r="24" spans="1:14" x14ac:dyDescent="0.3">
      <c r="A24" s="27">
        <f t="shared" si="1"/>
        <v>91.531999999999982</v>
      </c>
      <c r="B24">
        <v>1.4</v>
      </c>
      <c r="C24" s="21">
        <f t="shared" si="2"/>
        <v>1.4E-3</v>
      </c>
      <c r="D24" s="30">
        <f t="shared" si="3"/>
        <v>1.8898223650461361E-7</v>
      </c>
      <c r="E24" s="13">
        <f t="shared" si="8"/>
        <v>7.2764209843288903</v>
      </c>
      <c r="F24" s="30">
        <f t="shared" si="4"/>
        <v>2.8000889822365044E-3</v>
      </c>
      <c r="G24" s="14">
        <f t="shared" si="5"/>
        <v>1.4000444911182523E-4</v>
      </c>
      <c r="H24" s="14">
        <f t="shared" si="6"/>
        <v>13.508376384051584</v>
      </c>
      <c r="I24" s="22">
        <f t="shared" si="11"/>
        <v>2701.6752768103165</v>
      </c>
      <c r="J24" s="24">
        <f t="shared" si="9"/>
        <v>0.75046535466953235</v>
      </c>
      <c r="K24">
        <f t="shared" si="10"/>
        <v>6.9596800000000005</v>
      </c>
      <c r="N24" t="s">
        <v>126</v>
      </c>
    </row>
    <row r="25" spans="1:14" x14ac:dyDescent="0.3">
      <c r="A25" s="27">
        <f t="shared" si="1"/>
        <v>98.07</v>
      </c>
      <c r="B25">
        <v>1.5</v>
      </c>
      <c r="C25" s="21">
        <f t="shared" si="2"/>
        <v>1.5E-3</v>
      </c>
      <c r="D25" s="30">
        <f t="shared" si="3"/>
        <v>1.8257418583505539E-7</v>
      </c>
      <c r="E25" s="13">
        <f t="shared" si="8"/>
        <v>7.2614393726401687</v>
      </c>
      <c r="F25" s="30">
        <f t="shared" si="4"/>
        <v>3.000082574185835E-3</v>
      </c>
      <c r="G25" s="14">
        <f t="shared" si="5"/>
        <v>1.5000412870929176E-4</v>
      </c>
      <c r="H25" s="14">
        <f t="shared" si="6"/>
        <v>14.473198834905327</v>
      </c>
      <c r="I25" s="22">
        <f t="shared" si="11"/>
        <v>2894.6397669810653</v>
      </c>
      <c r="J25" s="24">
        <f t="shared" si="9"/>
        <v>0.80406660193918478</v>
      </c>
      <c r="K25">
        <f t="shared" si="10"/>
        <v>7.4567999999999994</v>
      </c>
    </row>
    <row r="26" spans="1:14" x14ac:dyDescent="0.3">
      <c r="A26" s="27">
        <f t="shared" si="1"/>
        <v>104.608</v>
      </c>
      <c r="B26">
        <v>1.6</v>
      </c>
      <c r="C26" s="21">
        <f t="shared" si="2"/>
        <v>1.6000000000000001E-3</v>
      </c>
      <c r="D26" s="30">
        <f t="shared" si="3"/>
        <v>1.7677669529663687E-7</v>
      </c>
      <c r="E26" s="13">
        <f t="shared" si="8"/>
        <v>7.2474250108400469</v>
      </c>
      <c r="F26" s="30">
        <f t="shared" si="4"/>
        <v>3.2000767766952967E-3</v>
      </c>
      <c r="G26" s="14">
        <f t="shared" si="5"/>
        <v>1.6000383883476481E-4</v>
      </c>
      <c r="H26" s="14">
        <f t="shared" si="6"/>
        <v>15.438024231264052</v>
      </c>
      <c r="I26" s="22">
        <f t="shared" si="11"/>
        <v>3087.6048462528101</v>
      </c>
      <c r="J26" s="24">
        <f t="shared" si="9"/>
        <v>0.85766801284800287</v>
      </c>
      <c r="K26">
        <f t="shared" si="10"/>
        <v>7.9539200000000019</v>
      </c>
      <c r="M26" s="18" t="s">
        <v>67</v>
      </c>
    </row>
    <row r="27" spans="1:14" x14ac:dyDescent="0.3">
      <c r="A27" s="27">
        <f t="shared" si="1"/>
        <v>111.14599999999999</v>
      </c>
      <c r="B27">
        <v>1.7</v>
      </c>
      <c r="C27" s="21">
        <f t="shared" si="2"/>
        <v>1.6999999999999999E-3</v>
      </c>
      <c r="D27" s="30">
        <f t="shared" si="3"/>
        <v>1.7149858514250884E-7</v>
      </c>
      <c r="E27" s="13">
        <f t="shared" si="8"/>
        <v>7.2342605414788723</v>
      </c>
      <c r="F27" s="30">
        <f t="shared" si="4"/>
        <v>3.4000714985851425E-3</v>
      </c>
      <c r="G27" s="14">
        <f t="shared" si="5"/>
        <v>1.7000357492925712E-4</v>
      </c>
      <c r="H27" s="14">
        <f t="shared" si="6"/>
        <v>16.402852133252338</v>
      </c>
      <c r="I27" s="22">
        <f t="shared" si="11"/>
        <v>3280.5704266504677</v>
      </c>
      <c r="J27" s="24">
        <f t="shared" si="9"/>
        <v>0.91126956295846329</v>
      </c>
      <c r="K27">
        <f t="shared" si="10"/>
        <v>8.4510400000000008</v>
      </c>
      <c r="M27" t="s">
        <v>66</v>
      </c>
      <c r="N27">
        <v>142.04</v>
      </c>
    </row>
    <row r="28" spans="1:14" x14ac:dyDescent="0.3">
      <c r="A28" s="27">
        <f t="shared" si="1"/>
        <v>117.684</v>
      </c>
      <c r="B28">
        <v>1.8</v>
      </c>
      <c r="C28" s="21">
        <f t="shared" si="2"/>
        <v>1.8E-3</v>
      </c>
      <c r="D28" s="30">
        <f t="shared" si="3"/>
        <v>1.6666666666666668E-7</v>
      </c>
      <c r="E28" s="13">
        <f t="shared" si="8"/>
        <v>7.2218487496163561</v>
      </c>
      <c r="F28" s="30">
        <f t="shared" si="4"/>
        <v>3.6000666666666666E-3</v>
      </c>
      <c r="G28" s="14">
        <f t="shared" si="5"/>
        <v>1.8000333333333332E-4</v>
      </c>
      <c r="H28" s="14">
        <f t="shared" si="6"/>
        <v>17.367682187788333</v>
      </c>
      <c r="I28" s="22">
        <f t="shared" si="11"/>
        <v>3473.5364375576664</v>
      </c>
      <c r="J28" s="24">
        <f t="shared" si="9"/>
        <v>0.96487123265490737</v>
      </c>
      <c r="K28">
        <f t="shared" si="10"/>
        <v>8.9481599999999997</v>
      </c>
      <c r="M28" t="s">
        <v>63</v>
      </c>
      <c r="N28">
        <v>9.7200000000000006</v>
      </c>
    </row>
    <row r="29" spans="1:14" x14ac:dyDescent="0.3">
      <c r="A29" s="27">
        <f t="shared" si="1"/>
        <v>124.22199999999998</v>
      </c>
      <c r="B29">
        <v>1.9</v>
      </c>
      <c r="C29" s="21">
        <f t="shared" si="2"/>
        <v>1.9E-3</v>
      </c>
      <c r="D29" s="30">
        <f t="shared" si="3"/>
        <v>1.6222142113076254E-7</v>
      </c>
      <c r="E29" s="13">
        <f t="shared" si="8"/>
        <v>7.2101082016915949</v>
      </c>
      <c r="F29" s="30">
        <f t="shared" si="4"/>
        <v>3.8000622214211309E-3</v>
      </c>
      <c r="G29" s="14">
        <f t="shared" si="5"/>
        <v>1.9000311107105654E-4</v>
      </c>
      <c r="H29" s="14">
        <f t="shared" si="6"/>
        <v>18.332514107737769</v>
      </c>
      <c r="I29" s="22">
        <f t="shared" si="11"/>
        <v>3666.5028215475536</v>
      </c>
      <c r="J29" s="24">
        <f t="shared" si="9"/>
        <v>1.0184730059854314</v>
      </c>
      <c r="K29">
        <f t="shared" si="10"/>
        <v>9.4452800000000003</v>
      </c>
      <c r="M29" t="s">
        <v>62</v>
      </c>
      <c r="N29">
        <f>N28/N27*1000</f>
        <v>68.43142776682626</v>
      </c>
    </row>
    <row r="30" spans="1:14" x14ac:dyDescent="0.3">
      <c r="A30" s="27">
        <f t="shared" si="1"/>
        <v>130.76</v>
      </c>
      <c r="B30">
        <v>2</v>
      </c>
      <c r="C30" s="21">
        <f t="shared" si="2"/>
        <v>2E-3</v>
      </c>
      <c r="D30" s="30">
        <f t="shared" si="3"/>
        <v>1.5811388300841896E-7</v>
      </c>
      <c r="E30" s="13">
        <f t="shared" si="8"/>
        <v>7.1989700043360187</v>
      </c>
      <c r="F30" s="30">
        <f t="shared" si="4"/>
        <v>4.0000581138830088E-3</v>
      </c>
      <c r="G30" s="14">
        <f t="shared" si="5"/>
        <v>2.0000290569415044E-4</v>
      </c>
      <c r="H30" s="14">
        <f t="shared" si="6"/>
        <v>19.297347656877871</v>
      </c>
      <c r="I30" s="22">
        <f t="shared" si="11"/>
        <v>3859.4695313755742</v>
      </c>
      <c r="J30" s="24">
        <f t="shared" si="9"/>
        <v>1.0720748698265483</v>
      </c>
      <c r="K30">
        <f t="shared" si="10"/>
        <v>9.942400000000001</v>
      </c>
    </row>
    <row r="31" spans="1:14" x14ac:dyDescent="0.3">
      <c r="A31" s="27">
        <f t="shared" si="1"/>
        <v>137.298</v>
      </c>
      <c r="B31">
        <v>2.1</v>
      </c>
      <c r="C31" s="21">
        <f t="shared" si="2"/>
        <v>2.1000000000000003E-3</v>
      </c>
      <c r="D31" s="30">
        <f t="shared" si="3"/>
        <v>1.5430334996209189E-7</v>
      </c>
      <c r="E31" s="13">
        <f t="shared" si="8"/>
        <v>7.1883753548010496</v>
      </c>
      <c r="F31" s="30">
        <f t="shared" si="4"/>
        <v>4.2000543033499623E-3</v>
      </c>
      <c r="G31" s="14">
        <f t="shared" si="5"/>
        <v>2.100027151674981E-4</v>
      </c>
      <c r="H31" s="14">
        <f t="shared" si="6"/>
        <v>20.262182638849708</v>
      </c>
      <c r="I31" s="22">
        <f t="shared" si="11"/>
        <v>4052.4365277699417</v>
      </c>
      <c r="J31" s="24">
        <f t="shared" si="9"/>
        <v>1.1256768132694281</v>
      </c>
      <c r="K31">
        <f t="shared" si="10"/>
        <v>10.43952</v>
      </c>
    </row>
    <row r="32" spans="1:14" x14ac:dyDescent="0.3">
      <c r="A32" s="31">
        <f t="shared" si="1"/>
        <v>143.83600000000001</v>
      </c>
      <c r="B32" s="21">
        <v>2.2000000000000002</v>
      </c>
      <c r="C32" s="21">
        <f t="shared" si="2"/>
        <v>2.2000000000000001E-3</v>
      </c>
      <c r="D32" s="30">
        <f t="shared" si="3"/>
        <v>1.5075567228888181E-7</v>
      </c>
      <c r="E32" s="22">
        <f t="shared" si="8"/>
        <v>7.1782736617569061</v>
      </c>
      <c r="F32" s="30">
        <f t="shared" si="4"/>
        <v>4.4000507556722895E-3</v>
      </c>
      <c r="G32" s="14">
        <f t="shared" si="5"/>
        <v>2.2000253778361447E-4</v>
      </c>
      <c r="H32" s="30">
        <f t="shared" si="6"/>
        <v>21.227018888906009</v>
      </c>
      <c r="I32" s="22">
        <f t="shared" si="11"/>
        <v>4245.4037777812018</v>
      </c>
      <c r="J32" s="24">
        <f t="shared" si="9"/>
        <v>1.1792788271614449</v>
      </c>
      <c r="K32">
        <f t="shared" si="10"/>
        <v>10.936640000000001</v>
      </c>
      <c r="M32" s="18" t="s">
        <v>65</v>
      </c>
    </row>
    <row r="33" spans="1:14" x14ac:dyDescent="0.3">
      <c r="A33" s="27">
        <f t="shared" ref="A33:A35" si="12">B33*$N$14</f>
        <v>150.37399999999997</v>
      </c>
      <c r="B33">
        <v>2.2999999999999998</v>
      </c>
      <c r="C33" s="21">
        <f t="shared" ref="C33:C35" si="13">B33/1000</f>
        <v>2.3E-3</v>
      </c>
      <c r="D33" s="30">
        <f t="shared" ref="D33:D35" si="14">SQRT($D$2/C33)</f>
        <v>1.4744195615489713E-7</v>
      </c>
      <c r="E33" s="13">
        <f t="shared" ref="E33:E35" si="15">-LOG($D$3/D33)</f>
        <v>7.1686210841592128</v>
      </c>
      <c r="F33" s="30">
        <f t="shared" ref="F33:F35" si="16">(D33-$D$36)+(C33*2)</f>
        <v>4.6000474419561552E-3</v>
      </c>
      <c r="G33" s="14">
        <f t="shared" ref="G33:G35" si="17">(F33*$D$4)/1000</f>
        <v>2.3000237209780776E-4</v>
      </c>
      <c r="H33" s="14">
        <f t="shared" ref="H33:H35" si="18">G33*$N$22</f>
        <v>22.191856267655194</v>
      </c>
      <c r="I33" s="22">
        <f t="shared" ref="I33:I35" si="19">H33/$D$6</f>
        <v>4438.3712535310387</v>
      </c>
      <c r="J33" s="24">
        <f t="shared" ref="J33:J35" si="20">I33/3600</f>
        <v>1.2328809037586219</v>
      </c>
      <c r="K33">
        <f t="shared" ref="K33:K35" si="21">((C33*$D$4)/1000)*$N$17*1000</f>
        <v>11.433759999999999</v>
      </c>
      <c r="M33" t="s">
        <v>64</v>
      </c>
      <c r="N33">
        <v>58.44</v>
      </c>
    </row>
    <row r="34" spans="1:14" x14ac:dyDescent="0.3">
      <c r="A34" s="31">
        <f t="shared" si="12"/>
        <v>156.91199999999998</v>
      </c>
      <c r="B34" s="21">
        <v>2.4</v>
      </c>
      <c r="C34" s="21">
        <f t="shared" si="13"/>
        <v>2.3999999999999998E-3</v>
      </c>
      <c r="D34" s="30">
        <f t="shared" si="14"/>
        <v>1.4433756729740645E-7</v>
      </c>
      <c r="E34" s="22">
        <f t="shared" si="15"/>
        <v>7.1593793813122062</v>
      </c>
      <c r="F34" s="30">
        <f t="shared" si="16"/>
        <v>4.8000443375672969E-3</v>
      </c>
      <c r="G34" s="14">
        <f t="shared" si="17"/>
        <v>2.4000221687836483E-4</v>
      </c>
      <c r="H34" s="30">
        <f t="shared" si="18"/>
        <v>23.156694656255013</v>
      </c>
      <c r="I34" s="22">
        <f t="shared" si="19"/>
        <v>4631.3389312510026</v>
      </c>
      <c r="J34" s="24">
        <f t="shared" si="20"/>
        <v>1.2864830364586117</v>
      </c>
      <c r="K34">
        <f t="shared" si="21"/>
        <v>11.93088</v>
      </c>
      <c r="M34" t="s">
        <v>63</v>
      </c>
      <c r="N34">
        <v>4</v>
      </c>
    </row>
    <row r="35" spans="1:14" ht="15" thickBot="1" x14ac:dyDescent="0.35">
      <c r="A35" s="27">
        <f t="shared" si="12"/>
        <v>163.44999999999999</v>
      </c>
      <c r="B35">
        <v>2.5</v>
      </c>
      <c r="C35" s="21">
        <f t="shared" si="13"/>
        <v>2.5000000000000001E-3</v>
      </c>
      <c r="D35" s="30">
        <f t="shared" si="14"/>
        <v>1.4142135623730952E-7</v>
      </c>
      <c r="E35" s="13">
        <f t="shared" si="15"/>
        <v>7.1505149978319906</v>
      </c>
      <c r="F35" s="30">
        <f t="shared" si="16"/>
        <v>5.0000414213562374E-3</v>
      </c>
      <c r="G35" s="14">
        <f t="shared" si="17"/>
        <v>2.5000207106781188E-4</v>
      </c>
      <c r="H35" s="14">
        <f t="shared" si="18"/>
        <v>24.121533952674746</v>
      </c>
      <c r="I35" s="22">
        <f t="shared" si="19"/>
        <v>4824.306790534949</v>
      </c>
      <c r="J35" s="24">
        <f t="shared" si="20"/>
        <v>1.3400852195930413</v>
      </c>
      <c r="K35">
        <f t="shared" si="21"/>
        <v>12.428000000000001</v>
      </c>
      <c r="M35" t="s">
        <v>62</v>
      </c>
      <c r="N35">
        <f>N34/N33*1000</f>
        <v>68.446269678302528</v>
      </c>
    </row>
    <row r="36" spans="1:14" ht="15" thickBot="1" x14ac:dyDescent="0.35">
      <c r="D36" s="29">
        <f>$D$3/(10^-E36)</f>
        <v>1.0000000000000001E-7</v>
      </c>
      <c r="E36" s="28">
        <v>7</v>
      </c>
    </row>
    <row r="37" spans="1:14" x14ac:dyDescent="0.3">
      <c r="I37"/>
      <c r="J37"/>
      <c r="K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L4" sqref="L4"/>
    </sheetView>
  </sheetViews>
  <sheetFormatPr defaultRowHeight="14.4" x14ac:dyDescent="0.3"/>
  <cols>
    <col min="1" max="1" width="26.88671875" customWidth="1"/>
    <col min="2" max="2" width="15.5546875" customWidth="1"/>
    <col min="3" max="3" width="14.88671875" customWidth="1"/>
    <col min="4" max="4" width="9" customWidth="1"/>
    <col min="5" max="5" width="15.6640625" bestFit="1" customWidth="1"/>
    <col min="6" max="6" width="13" customWidth="1"/>
    <col min="7" max="7" width="15.33203125" customWidth="1"/>
    <col min="8" max="8" width="14" customWidth="1"/>
    <col min="9" max="9" width="12.44140625" customWidth="1"/>
    <col min="10" max="10" width="11.44140625" style="14" customWidth="1"/>
    <col min="11" max="11" width="11.44140625" style="13" customWidth="1"/>
    <col min="12" max="12" width="17" style="13" bestFit="1" customWidth="1"/>
    <col min="13" max="13" width="15.44140625" style="13" bestFit="1" customWidth="1"/>
    <col min="14" max="14" width="13.6640625" bestFit="1" customWidth="1"/>
    <col min="15" max="15" width="15.44140625" bestFit="1" customWidth="1"/>
  </cols>
  <sheetData>
    <row r="1" spans="1:18" x14ac:dyDescent="0.3">
      <c r="I1" t="s">
        <v>43</v>
      </c>
      <c r="J1" t="s">
        <v>43</v>
      </c>
      <c r="K1" t="s">
        <v>43</v>
      </c>
      <c r="L1" s="13" t="s">
        <v>50</v>
      </c>
    </row>
    <row r="2" spans="1:18" x14ac:dyDescent="0.3">
      <c r="B2" t="s">
        <v>14</v>
      </c>
      <c r="C2" t="s">
        <v>15</v>
      </c>
      <c r="D2" t="s">
        <v>7</v>
      </c>
      <c r="E2" t="s">
        <v>117</v>
      </c>
      <c r="F2" t="s">
        <v>120</v>
      </c>
      <c r="I2" t="s">
        <v>16</v>
      </c>
      <c r="J2" s="14" t="s">
        <v>17</v>
      </c>
      <c r="K2" s="13" t="s">
        <v>0</v>
      </c>
      <c r="L2" s="13" t="s">
        <v>106</v>
      </c>
      <c r="M2" s="13" t="s">
        <v>119</v>
      </c>
      <c r="N2" s="13" t="s">
        <v>121</v>
      </c>
      <c r="O2" s="13" t="s">
        <v>122</v>
      </c>
      <c r="Q2" s="44" t="s">
        <v>123</v>
      </c>
      <c r="R2" s="44" t="s">
        <v>118</v>
      </c>
    </row>
    <row r="3" spans="1:18" x14ac:dyDescent="0.3">
      <c r="A3" t="s">
        <v>50</v>
      </c>
      <c r="B3">
        <v>-0.76800000000000002</v>
      </c>
      <c r="C3">
        <f>B3-$B$13</f>
        <v>-0.97299999999999998</v>
      </c>
      <c r="D3">
        <v>2</v>
      </c>
      <c r="E3">
        <f>($B$8*$B$9)/(D3*$B$10)</f>
        <v>1.2839837374981464E-2</v>
      </c>
      <c r="F3">
        <f>($B$8*$C$9)/(D3*$B$10)</f>
        <v>1.2193536835972331E-2</v>
      </c>
      <c r="G3" t="s">
        <v>51</v>
      </c>
      <c r="I3">
        <v>1</v>
      </c>
      <c r="J3" s="14">
        <f>(I3/1000)/$B$11</f>
        <v>1.5295197308045274E-5</v>
      </c>
      <c r="K3" s="13">
        <f>J3*1000</f>
        <v>1.5295197308045273E-2</v>
      </c>
      <c r="L3" s="13">
        <f>$B$3-($E$3*LN(1/J3))</f>
        <v>-0.91036775319317209</v>
      </c>
      <c r="M3" s="13">
        <f>L3*1000</f>
        <v>-910.36775319317212</v>
      </c>
      <c r="N3" s="13">
        <f>$B$3-($F$3*LN(1/J3))</f>
        <v>-0.90320159111969023</v>
      </c>
      <c r="O3" s="13">
        <f>N3*1000</f>
        <v>-903.20159111969019</v>
      </c>
      <c r="Q3" s="13">
        <f>(N3-L3)</f>
        <v>7.1661620734818632E-3</v>
      </c>
      <c r="R3">
        <f>(N3-L3)/L3*100</f>
        <v>-0.78717222225261163</v>
      </c>
    </row>
    <row r="4" spans="1:18" x14ac:dyDescent="0.3">
      <c r="I4">
        <v>2</v>
      </c>
      <c r="J4" s="14">
        <f t="shared" ref="J4:J10" si="0">(I4/1000)/$B$11</f>
        <v>3.0590394616090547E-5</v>
      </c>
      <c r="K4" s="13">
        <f t="shared" ref="K4:K10" si="1">J4*1000</f>
        <v>3.0590394616090547E-2</v>
      </c>
      <c r="L4" s="13">
        <f>$B$3-($E$3*LN(1/J4))</f>
        <v>-0.90146785611785551</v>
      </c>
      <c r="M4" s="13">
        <f>L4*1000</f>
        <v>-901.46785611785549</v>
      </c>
      <c r="N4" s="13">
        <f t="shared" ref="N4:N16" si="2">$B$3-($F$3*LN(1/J4))</f>
        <v>-0.89474967544078221</v>
      </c>
      <c r="O4" s="13">
        <f t="shared" ref="O4:O16" si="3">N4*1000</f>
        <v>-894.7496754407822</v>
      </c>
      <c r="Q4" s="13">
        <f t="shared" ref="Q4:Q16" si="4">(N4-L4)</f>
        <v>6.7181806770733044E-3</v>
      </c>
      <c r="R4">
        <f t="shared" ref="R4:R16" si="5">(N4-L4)/L4*100</f>
        <v>-0.745249054803235</v>
      </c>
    </row>
    <row r="5" spans="1:18" x14ac:dyDescent="0.3">
      <c r="I5">
        <v>5</v>
      </c>
      <c r="J5" s="14">
        <f t="shared" si="0"/>
        <v>7.6475986540226371E-5</v>
      </c>
      <c r="K5" s="13">
        <f t="shared" si="1"/>
        <v>7.6475986540226373E-2</v>
      </c>
      <c r="L5" s="13">
        <f t="shared" ref="L5:L16" si="6">$B$3-($E$3*LN(1/J5))</f>
        <v>-0.88970283213238854</v>
      </c>
      <c r="M5" s="13">
        <f>L5*1000</f>
        <v>-889.70283213238849</v>
      </c>
      <c r="N5" s="13">
        <f t="shared" si="2"/>
        <v>-0.88357685064921465</v>
      </c>
      <c r="O5" s="13">
        <f t="shared" si="3"/>
        <v>-883.57685064921463</v>
      </c>
      <c r="Q5" s="13">
        <f t="shared" si="4"/>
        <v>6.1259814831738924E-3</v>
      </c>
      <c r="R5">
        <f t="shared" si="5"/>
        <v>-0.68854242809270283</v>
      </c>
    </row>
    <row r="6" spans="1:18" x14ac:dyDescent="0.3">
      <c r="I6">
        <v>10</v>
      </c>
      <c r="J6" s="14">
        <f t="shared" si="0"/>
        <v>1.5295197308045274E-4</v>
      </c>
      <c r="K6" s="13">
        <f t="shared" si="1"/>
        <v>0.15295197308045275</v>
      </c>
      <c r="L6" s="13">
        <f t="shared" si="6"/>
        <v>-0.88080293505707197</v>
      </c>
      <c r="M6" s="13">
        <f t="shared" ref="M6:M16" si="7">L6*1000</f>
        <v>-880.80293505707198</v>
      </c>
      <c r="N6" s="13">
        <f t="shared" si="2"/>
        <v>-0.87512493497030663</v>
      </c>
      <c r="O6" s="13">
        <f t="shared" si="3"/>
        <v>-875.12493497030664</v>
      </c>
      <c r="Q6" s="13">
        <f t="shared" si="4"/>
        <v>5.6780000867653335E-3</v>
      </c>
      <c r="R6">
        <f t="shared" si="5"/>
        <v>-0.64463909698455146</v>
      </c>
    </row>
    <row r="7" spans="1:18" x14ac:dyDescent="0.3">
      <c r="I7">
        <v>20</v>
      </c>
      <c r="J7" s="14">
        <f t="shared" si="0"/>
        <v>3.0590394616090549E-4</v>
      </c>
      <c r="K7" s="13">
        <f t="shared" si="1"/>
        <v>0.30590394616090549</v>
      </c>
      <c r="L7" s="13">
        <f t="shared" si="6"/>
        <v>-0.87190303798175539</v>
      </c>
      <c r="M7" s="13">
        <f t="shared" si="7"/>
        <v>-871.90303798175535</v>
      </c>
      <c r="N7" s="13">
        <f t="shared" si="2"/>
        <v>-0.86667301929139851</v>
      </c>
      <c r="O7" s="13">
        <f t="shared" si="3"/>
        <v>-866.67301929139853</v>
      </c>
      <c r="Q7" s="13">
        <f t="shared" si="4"/>
        <v>5.2300186903568857E-3</v>
      </c>
      <c r="R7">
        <f t="shared" si="5"/>
        <v>-0.59983948472792503</v>
      </c>
    </row>
    <row r="8" spans="1:18" x14ac:dyDescent="0.3">
      <c r="A8" t="s">
        <v>8</v>
      </c>
      <c r="B8">
        <v>8.31447</v>
      </c>
      <c r="I8">
        <v>30</v>
      </c>
      <c r="J8" s="14">
        <f t="shared" si="0"/>
        <v>4.5885591924135825E-4</v>
      </c>
      <c r="K8" s="13">
        <f t="shared" si="1"/>
        <v>0.45885591924135827</v>
      </c>
      <c r="L8" s="13">
        <f t="shared" si="6"/>
        <v>-0.86669693193241726</v>
      </c>
      <c r="M8" s="13">
        <f t="shared" si="7"/>
        <v>-866.69693193241721</v>
      </c>
      <c r="N8" s="13">
        <f t="shared" si="2"/>
        <v>-0.86172896555998013</v>
      </c>
      <c r="O8" s="13">
        <f t="shared" si="3"/>
        <v>-861.72896555998011</v>
      </c>
      <c r="Q8" s="13">
        <f t="shared" si="4"/>
        <v>4.967966372437127E-3</v>
      </c>
      <c r="R8">
        <f t="shared" si="5"/>
        <v>-0.57320687190623576</v>
      </c>
    </row>
    <row r="9" spans="1:18" x14ac:dyDescent="0.3">
      <c r="A9" t="s">
        <v>9</v>
      </c>
      <c r="B9">
        <v>298</v>
      </c>
      <c r="C9">
        <v>283</v>
      </c>
      <c r="I9" s="12">
        <v>40</v>
      </c>
      <c r="J9" s="14">
        <f t="shared" si="0"/>
        <v>6.1180789232181097E-4</v>
      </c>
      <c r="K9" s="13">
        <f t="shared" si="1"/>
        <v>0.61180789232181099</v>
      </c>
      <c r="L9" s="13">
        <f t="shared" si="6"/>
        <v>-0.8630031409064387</v>
      </c>
      <c r="M9" s="13">
        <f t="shared" si="7"/>
        <v>-863.00314090643872</v>
      </c>
      <c r="N9" s="13">
        <f t="shared" si="2"/>
        <v>-0.85822110361249049</v>
      </c>
      <c r="O9" s="13">
        <f t="shared" si="3"/>
        <v>-858.22110361249054</v>
      </c>
      <c r="Q9" s="13">
        <f t="shared" si="4"/>
        <v>4.7820372939482159E-3</v>
      </c>
      <c r="R9">
        <f t="shared" si="5"/>
        <v>-0.55411586207270291</v>
      </c>
    </row>
    <row r="10" spans="1:18" x14ac:dyDescent="0.3">
      <c r="A10" t="s">
        <v>11</v>
      </c>
      <c r="B10">
        <v>96485.336521000005</v>
      </c>
      <c r="I10">
        <v>50</v>
      </c>
      <c r="J10" s="14">
        <f t="shared" si="0"/>
        <v>7.6475986540226379E-4</v>
      </c>
      <c r="K10" s="13">
        <f t="shared" si="1"/>
        <v>0.76475986540226382</v>
      </c>
      <c r="L10" s="13">
        <f t="shared" si="6"/>
        <v>-0.86013801399628842</v>
      </c>
      <c r="M10" s="13">
        <f t="shared" si="7"/>
        <v>-860.13801399628846</v>
      </c>
      <c r="N10" s="13">
        <f t="shared" si="2"/>
        <v>-0.85550019449983106</v>
      </c>
      <c r="O10" s="13">
        <f t="shared" si="3"/>
        <v>-855.50019449983108</v>
      </c>
      <c r="Q10" s="13">
        <f t="shared" si="4"/>
        <v>4.6378194964573627E-3</v>
      </c>
      <c r="R10">
        <f t="shared" si="5"/>
        <v>-0.53919480606485271</v>
      </c>
    </row>
    <row r="11" spans="1:18" x14ac:dyDescent="0.3">
      <c r="A11" t="s">
        <v>44</v>
      </c>
      <c r="B11">
        <v>65.38</v>
      </c>
      <c r="I11">
        <v>100</v>
      </c>
      <c r="J11" s="14">
        <f t="shared" ref="J11:J16" si="8">(I11/1000)/$B$11</f>
        <v>1.5295197308045276E-3</v>
      </c>
      <c r="K11" s="13">
        <f t="shared" ref="K11:K16" si="9">J11*1000</f>
        <v>1.5295197308045276</v>
      </c>
      <c r="L11" s="13">
        <f t="shared" si="6"/>
        <v>-0.85123811692097184</v>
      </c>
      <c r="M11" s="13">
        <f t="shared" si="7"/>
        <v>-851.23811692097183</v>
      </c>
      <c r="N11" s="13">
        <f t="shared" si="2"/>
        <v>-0.84704827882092293</v>
      </c>
      <c r="O11" s="13">
        <f t="shared" si="3"/>
        <v>-847.04827882092297</v>
      </c>
      <c r="Q11" s="13">
        <f t="shared" si="4"/>
        <v>4.1898381000489149E-3</v>
      </c>
      <c r="R11">
        <f t="shared" si="5"/>
        <v>-0.4922051793455926</v>
      </c>
    </row>
    <row r="12" spans="1:18" x14ac:dyDescent="0.3">
      <c r="I12">
        <v>250</v>
      </c>
      <c r="J12" s="14">
        <f t="shared" si="8"/>
        <v>3.8237993270113188E-3</v>
      </c>
      <c r="K12" s="13">
        <f t="shared" si="9"/>
        <v>3.8237993270113186</v>
      </c>
      <c r="L12" s="13">
        <f t="shared" si="6"/>
        <v>-0.83947309293550498</v>
      </c>
      <c r="M12" s="13">
        <f t="shared" si="7"/>
        <v>-839.47309293550495</v>
      </c>
      <c r="N12" s="13">
        <f t="shared" si="2"/>
        <v>-0.83587545402935537</v>
      </c>
      <c r="O12" s="13">
        <f t="shared" si="3"/>
        <v>-835.87545402935541</v>
      </c>
      <c r="Q12" s="13">
        <f t="shared" si="4"/>
        <v>3.5976389061496139E-3</v>
      </c>
      <c r="R12">
        <f t="shared" si="5"/>
        <v>-0.4285591684147062</v>
      </c>
    </row>
    <row r="13" spans="1:18" x14ac:dyDescent="0.3">
      <c r="A13" t="s">
        <v>10</v>
      </c>
      <c r="B13">
        <v>0.20499999999999999</v>
      </c>
      <c r="I13">
        <v>500</v>
      </c>
      <c r="J13" s="14">
        <f t="shared" si="8"/>
        <v>7.6475986540226375E-3</v>
      </c>
      <c r="K13" s="13">
        <f t="shared" si="9"/>
        <v>7.6475986540226373</v>
      </c>
      <c r="L13" s="13">
        <f t="shared" si="6"/>
        <v>-0.8305731958601883</v>
      </c>
      <c r="M13" s="13">
        <f t="shared" si="7"/>
        <v>-830.57319586018832</v>
      </c>
      <c r="N13" s="13">
        <f t="shared" si="2"/>
        <v>-0.82742353835044735</v>
      </c>
      <c r="O13" s="13">
        <f t="shared" si="3"/>
        <v>-827.4235383504473</v>
      </c>
      <c r="Q13" s="13">
        <f t="shared" si="4"/>
        <v>3.1496575097409441E-3</v>
      </c>
      <c r="R13">
        <f t="shared" si="5"/>
        <v>-0.37921492355396585</v>
      </c>
    </row>
    <row r="14" spans="1:18" x14ac:dyDescent="0.3">
      <c r="A14" t="s">
        <v>12</v>
      </c>
      <c r="I14">
        <v>1000</v>
      </c>
      <c r="J14" s="14">
        <f t="shared" si="8"/>
        <v>1.5295197308045275E-2</v>
      </c>
      <c r="K14" s="13">
        <f t="shared" si="9"/>
        <v>15.295197308045275</v>
      </c>
      <c r="L14" s="13">
        <f t="shared" si="6"/>
        <v>-0.82167329878487172</v>
      </c>
      <c r="M14" s="13">
        <f t="shared" si="7"/>
        <v>-821.67329878487169</v>
      </c>
      <c r="N14" s="13">
        <f t="shared" si="2"/>
        <v>-0.81897162267153922</v>
      </c>
      <c r="O14" s="13">
        <f t="shared" si="3"/>
        <v>-818.97162267153919</v>
      </c>
      <c r="Q14" s="13">
        <f t="shared" si="4"/>
        <v>2.7016761133324962E-3</v>
      </c>
      <c r="R14">
        <f t="shared" si="5"/>
        <v>-0.32880174119420202</v>
      </c>
    </row>
    <row r="15" spans="1:18" x14ac:dyDescent="0.3">
      <c r="I15">
        <v>2000</v>
      </c>
      <c r="J15" s="14">
        <f t="shared" si="8"/>
        <v>3.059039461609055E-2</v>
      </c>
      <c r="K15" s="13">
        <f t="shared" si="9"/>
        <v>30.590394616090549</v>
      </c>
      <c r="L15" s="13">
        <f t="shared" si="6"/>
        <v>-0.81277340170955514</v>
      </c>
      <c r="M15" s="13">
        <f t="shared" si="7"/>
        <v>-812.77340170955517</v>
      </c>
      <c r="N15" s="13">
        <f t="shared" si="2"/>
        <v>-0.81051970699263121</v>
      </c>
      <c r="O15" s="13">
        <f t="shared" si="3"/>
        <v>-810.5197069926312</v>
      </c>
      <c r="Q15" s="13">
        <f t="shared" si="4"/>
        <v>2.2536947169239374E-3</v>
      </c>
      <c r="R15">
        <f t="shared" si="5"/>
        <v>-0.27728450662676779</v>
      </c>
    </row>
    <row r="16" spans="1:18" x14ac:dyDescent="0.3">
      <c r="A16" t="s">
        <v>13</v>
      </c>
      <c r="I16">
        <v>5000</v>
      </c>
      <c r="J16" s="14">
        <f t="shared" si="8"/>
        <v>7.6475986540226373E-2</v>
      </c>
      <c r="K16" s="13">
        <f t="shared" si="9"/>
        <v>76.475986540226373</v>
      </c>
      <c r="L16" s="13">
        <f t="shared" si="6"/>
        <v>-0.80100837772408828</v>
      </c>
      <c r="M16" s="13">
        <f t="shared" si="7"/>
        <v>-801.00837772408829</v>
      </c>
      <c r="N16" s="13">
        <f t="shared" si="2"/>
        <v>-0.79934688220106365</v>
      </c>
      <c r="O16" s="13">
        <f t="shared" si="3"/>
        <v>-799.34688220106364</v>
      </c>
      <c r="Q16" s="13">
        <f t="shared" si="4"/>
        <v>1.6614955230246364E-3</v>
      </c>
      <c r="R16">
        <f t="shared" si="5"/>
        <v>-0.20742548632830252</v>
      </c>
    </row>
    <row r="18" spans="1:13" s="17" customFormat="1" x14ac:dyDescent="0.3">
      <c r="J18" s="15"/>
      <c r="K18" s="16"/>
      <c r="L18" s="16"/>
      <c r="M18" s="16"/>
    </row>
    <row r="19" spans="1:13" x14ac:dyDescent="0.3">
      <c r="A19" s="18" t="s">
        <v>18</v>
      </c>
    </row>
    <row r="20" spans="1:13" x14ac:dyDescent="0.3">
      <c r="A20" t="s">
        <v>19</v>
      </c>
      <c r="B20" s="20" t="s">
        <v>22</v>
      </c>
    </row>
    <row r="21" spans="1:13" x14ac:dyDescent="0.3">
      <c r="A21" t="s">
        <v>20</v>
      </c>
    </row>
    <row r="22" spans="1:13" x14ac:dyDescent="0.3">
      <c r="A22" t="s">
        <v>21</v>
      </c>
      <c r="B22" t="s">
        <v>19</v>
      </c>
    </row>
    <row r="23" spans="1:13" x14ac:dyDescent="0.3">
      <c r="A23" t="s">
        <v>23</v>
      </c>
      <c r="B23" t="s">
        <v>24</v>
      </c>
    </row>
    <row r="24" spans="1:13" x14ac:dyDescent="0.3">
      <c r="A24" t="s">
        <v>25</v>
      </c>
      <c r="B24" t="s">
        <v>30</v>
      </c>
    </row>
    <row r="25" spans="1:13" x14ac:dyDescent="0.3">
      <c r="A25" s="1" t="s">
        <v>26</v>
      </c>
      <c r="B25" s="1" t="s">
        <v>27</v>
      </c>
    </row>
    <row r="26" spans="1:13" x14ac:dyDescent="0.3">
      <c r="A26" t="s">
        <v>28</v>
      </c>
      <c r="B26" t="s">
        <v>29</v>
      </c>
    </row>
    <row r="28" spans="1:13" x14ac:dyDescent="0.3">
      <c r="A28" t="s">
        <v>31</v>
      </c>
    </row>
    <row r="29" spans="1:13" x14ac:dyDescent="0.3">
      <c r="A29" t="s">
        <v>32</v>
      </c>
      <c r="B29" s="20" t="s">
        <v>42</v>
      </c>
    </row>
    <row r="31" spans="1:13" x14ac:dyDescent="0.3">
      <c r="A31" t="s">
        <v>33</v>
      </c>
      <c r="B31" t="s">
        <v>34</v>
      </c>
    </row>
    <row r="32" spans="1:13" x14ac:dyDescent="0.3">
      <c r="A32" t="s">
        <v>21</v>
      </c>
      <c r="B32" t="s">
        <v>19</v>
      </c>
    </row>
    <row r="33" spans="1:2" x14ac:dyDescent="0.3">
      <c r="A33" t="s">
        <v>23</v>
      </c>
      <c r="B33" t="s">
        <v>24</v>
      </c>
    </row>
    <row r="34" spans="1:2" x14ac:dyDescent="0.3">
      <c r="A34" t="s">
        <v>35</v>
      </c>
      <c r="B34" t="s">
        <v>36</v>
      </c>
    </row>
    <row r="35" spans="1:2" x14ac:dyDescent="0.3">
      <c r="A35" s="19" t="s">
        <v>37</v>
      </c>
      <c r="B35" t="s">
        <v>39</v>
      </c>
    </row>
    <row r="36" spans="1:2" x14ac:dyDescent="0.3">
      <c r="A36" s="19" t="s">
        <v>38</v>
      </c>
      <c r="B36" t="s">
        <v>40</v>
      </c>
    </row>
    <row r="37" spans="1:2" x14ac:dyDescent="0.3">
      <c r="A37" s="19" t="s">
        <v>7</v>
      </c>
      <c r="B37" t="s">
        <v>41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G16" sqref="G16"/>
    </sheetView>
  </sheetViews>
  <sheetFormatPr defaultRowHeight="14.4" x14ac:dyDescent="0.3"/>
  <cols>
    <col min="1" max="1" width="19.5546875" style="21" customWidth="1"/>
    <col min="2" max="2" width="20.44140625" customWidth="1"/>
  </cols>
  <sheetData>
    <row r="1" spans="1:3" x14ac:dyDescent="0.3">
      <c r="A1" s="25" t="s">
        <v>56</v>
      </c>
      <c r="C1" t="s">
        <v>59</v>
      </c>
    </row>
    <row r="2" spans="1:3" x14ac:dyDescent="0.3">
      <c r="C2" t="s">
        <v>60</v>
      </c>
    </row>
    <row r="3" spans="1:3" x14ac:dyDescent="0.3">
      <c r="A3" s="26" t="s">
        <v>55</v>
      </c>
    </row>
    <row r="4" spans="1:3" x14ac:dyDescent="0.3">
      <c r="A4" s="21">
        <v>5</v>
      </c>
    </row>
    <row r="6" spans="1:3" x14ac:dyDescent="0.3">
      <c r="A6" s="21" t="s">
        <v>57</v>
      </c>
      <c r="B6" s="21" t="s">
        <v>61</v>
      </c>
    </row>
    <row r="7" spans="1:3" x14ac:dyDescent="0.3">
      <c r="A7" s="21">
        <f>A11/(A4*60)</f>
        <v>0.2</v>
      </c>
      <c r="B7" s="21">
        <f>A11/A4</f>
        <v>12</v>
      </c>
    </row>
    <row r="10" spans="1:3" x14ac:dyDescent="0.3">
      <c r="A10" s="21" t="s">
        <v>58</v>
      </c>
    </row>
    <row r="11" spans="1:3" x14ac:dyDescent="0.3">
      <c r="A11" s="21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Zn ppm</vt:lpstr>
      <vt:lpstr>Zn standards</vt:lpstr>
      <vt:lpstr>Zn electroppt </vt:lpstr>
      <vt:lpstr>Zn nernst</vt:lpstr>
      <vt:lpstr>Zn HRT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2019-11-04T03:15:18Z</dcterms:modified>
</cp:coreProperties>
</file>