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mpus\home\home31\b2050826\PhD\Results\Pilot Reactors\Exp_Materials-June14_Aug14\Bact-Chem\"/>
    </mc:Choice>
  </mc:AlternateContent>
  <bookViews>
    <workbookView xWindow="0" yWindow="0" windowWidth="20490" windowHeight="7755" tabRatio="905" activeTab="1"/>
  </bookViews>
  <sheets>
    <sheet name="Pumps" sheetId="1" r:id="rId1"/>
    <sheet name="TOC1" sheetId="2" r:id="rId2"/>
    <sheet name="IC" sheetId="3" r:id="rId3"/>
    <sheet name="Ammonia" sheetId="4" r:id="rId4"/>
  </sheets>
  <calcPr calcId="152511"/>
</workbook>
</file>

<file path=xl/calcChain.xml><?xml version="1.0" encoding="utf-8"?>
<calcChain xmlns="http://schemas.openxmlformats.org/spreadsheetml/2006/main">
  <c r="AV48" i="2" l="1"/>
  <c r="AW48" i="2"/>
  <c r="AX48" i="2"/>
  <c r="AY48" i="2"/>
  <c r="AZ48" i="2"/>
  <c r="BA48" i="2"/>
  <c r="BB48" i="2"/>
  <c r="AV49" i="2"/>
  <c r="AW49" i="2"/>
  <c r="AX49" i="2"/>
  <c r="AY49" i="2"/>
  <c r="AZ49" i="2"/>
  <c r="BA49" i="2"/>
  <c r="BB49" i="2"/>
  <c r="AV46" i="2"/>
  <c r="AW46" i="2"/>
  <c r="AX46" i="2"/>
  <c r="AY46" i="2"/>
  <c r="AZ46" i="2"/>
  <c r="BA46" i="2"/>
  <c r="BB46" i="2"/>
  <c r="BA45" i="2"/>
  <c r="BB45" i="2"/>
  <c r="AW45" i="2"/>
  <c r="AX45" i="2"/>
  <c r="AY45" i="2"/>
  <c r="AZ45" i="2"/>
  <c r="AV45" i="2"/>
  <c r="AO20" i="3" l="1"/>
  <c r="AN49" i="2" l="1"/>
  <c r="X44" i="2" l="1"/>
  <c r="Y44" i="2"/>
  <c r="Z44" i="2"/>
  <c r="AA44" i="2"/>
  <c r="AB44" i="2"/>
  <c r="AC44" i="2"/>
  <c r="W44" i="2"/>
  <c r="W45" i="2"/>
  <c r="AC46" i="2"/>
  <c r="AB46" i="2"/>
  <c r="AA46" i="2"/>
  <c r="Z46" i="2"/>
  <c r="Y46" i="2"/>
  <c r="X46" i="2"/>
  <c r="W46" i="2"/>
  <c r="AC45" i="2"/>
  <c r="AB45" i="2"/>
  <c r="AA45" i="2"/>
  <c r="Z45" i="2"/>
  <c r="Y45" i="2"/>
  <c r="X45" i="2"/>
  <c r="AN45" i="2"/>
  <c r="I118" i="1" l="1"/>
  <c r="AO49" i="2" l="1"/>
  <c r="AP49" i="2"/>
  <c r="AQ49" i="2"/>
  <c r="AR49" i="2"/>
  <c r="AS49" i="2"/>
  <c r="AT49" i="2"/>
  <c r="AO48" i="2"/>
  <c r="AP48" i="2"/>
  <c r="AQ48" i="2"/>
  <c r="AR48" i="2"/>
  <c r="AS48" i="2"/>
  <c r="AT48" i="2"/>
  <c r="AN48" i="2"/>
  <c r="AF35" i="2"/>
  <c r="AO37" i="2"/>
  <c r="B25" i="1" l="1"/>
  <c r="AN39" i="2" l="1"/>
  <c r="AQ52" i="2" l="1"/>
  <c r="AU53" i="2"/>
  <c r="AT53" i="2"/>
  <c r="AO55" i="2"/>
  <c r="AP55" i="2"/>
  <c r="AQ55" i="2"/>
  <c r="AR55" i="2"/>
  <c r="AS55" i="2"/>
  <c r="AT55" i="2"/>
  <c r="AN55" i="2"/>
  <c r="AR53" i="2"/>
  <c r="AR52" i="2"/>
  <c r="AP53" i="2"/>
  <c r="AP52" i="2"/>
  <c r="AO53" i="2"/>
  <c r="AQ46" i="2"/>
  <c r="AO52" i="2"/>
  <c r="AN53" i="2"/>
  <c r="AN52" i="2"/>
  <c r="AO46" i="2"/>
  <c r="AP46" i="2"/>
  <c r="AR46" i="2"/>
  <c r="AS46" i="2"/>
  <c r="AT46" i="2"/>
  <c r="AN46" i="2"/>
  <c r="AO45" i="2"/>
  <c r="AP45" i="2"/>
  <c r="AQ45" i="2"/>
  <c r="AR45" i="2"/>
  <c r="AS45" i="2"/>
  <c r="AT45" i="2"/>
  <c r="L5" i="4" l="1"/>
  <c r="O15" i="4"/>
  <c r="N15" i="4"/>
  <c r="M15" i="4"/>
  <c r="L15" i="4"/>
  <c r="O13" i="4"/>
  <c r="N13" i="4"/>
  <c r="M13" i="4"/>
  <c r="L13" i="4"/>
  <c r="O11" i="4"/>
  <c r="N11" i="4"/>
  <c r="M11" i="4"/>
  <c r="L11" i="4"/>
  <c r="O9" i="4"/>
  <c r="N9" i="4"/>
  <c r="M9" i="4"/>
  <c r="L9" i="4"/>
  <c r="O7" i="4"/>
  <c r="N7" i="4"/>
  <c r="M7" i="4"/>
  <c r="L7" i="4"/>
  <c r="O5" i="4"/>
  <c r="N5" i="4"/>
  <c r="M5" i="4"/>
  <c r="K13" i="4"/>
  <c r="K11" i="4"/>
  <c r="K9" i="4"/>
  <c r="K7" i="4"/>
  <c r="K15" i="4"/>
  <c r="K17" i="4"/>
  <c r="N3" i="4"/>
  <c r="O2" i="4"/>
  <c r="O3" i="4"/>
  <c r="O17" i="4"/>
  <c r="L2" i="4"/>
  <c r="M2" i="4"/>
  <c r="N2" i="4"/>
  <c r="K2" i="4"/>
  <c r="N17" i="4"/>
  <c r="AN23" i="2" l="1"/>
  <c r="G125" i="1"/>
  <c r="D125" i="1"/>
  <c r="H118" i="1"/>
  <c r="G118" i="1"/>
  <c r="F118" i="1"/>
  <c r="E118" i="1"/>
  <c r="D118" i="1"/>
  <c r="C118" i="1"/>
  <c r="AQ28" i="2" l="1"/>
  <c r="AT28" i="2"/>
  <c r="AT27" i="2"/>
  <c r="AN28" i="2"/>
  <c r="AN27" i="2"/>
  <c r="AO8" i="2"/>
  <c r="AP8" i="2"/>
  <c r="AQ8" i="2"/>
  <c r="AR8" i="2"/>
  <c r="AS8" i="2"/>
  <c r="AT8" i="2"/>
  <c r="AO9" i="2"/>
  <c r="AP9" i="2"/>
  <c r="AQ9" i="2"/>
  <c r="AR9" i="2"/>
  <c r="AS9" i="2"/>
  <c r="AT9" i="2"/>
  <c r="AO10" i="2"/>
  <c r="AP10" i="2"/>
  <c r="AR10" i="2"/>
  <c r="AS10" i="2"/>
  <c r="AT10" i="2"/>
  <c r="AO11" i="2"/>
  <c r="AP11" i="2"/>
  <c r="AQ11" i="2"/>
  <c r="AR11" i="2"/>
  <c r="AS11" i="2"/>
  <c r="AT11" i="2"/>
  <c r="AO12" i="2"/>
  <c r="AQ12" i="2"/>
  <c r="AR12" i="2"/>
  <c r="AS12" i="2"/>
  <c r="AT12" i="2"/>
  <c r="AO13" i="2"/>
  <c r="AP13" i="2"/>
  <c r="AR13" i="2"/>
  <c r="AS13" i="2"/>
  <c r="AT13" i="2"/>
  <c r="AN12" i="2"/>
  <c r="AN13" i="2"/>
  <c r="AO23" i="2"/>
  <c r="AP23" i="2"/>
  <c r="AQ23" i="2"/>
  <c r="AR23" i="2"/>
  <c r="AS23" i="2"/>
  <c r="AT23" i="2"/>
  <c r="AO24" i="2"/>
  <c r="AP24" i="2"/>
  <c r="AQ24" i="2"/>
  <c r="AR24" i="2"/>
  <c r="AS24" i="2"/>
  <c r="AT24" i="2"/>
  <c r="AO25" i="2"/>
  <c r="AP25" i="2"/>
  <c r="AQ25" i="2"/>
  <c r="AR25" i="2"/>
  <c r="AS25" i="2"/>
  <c r="AT25" i="2"/>
  <c r="AO26" i="2"/>
  <c r="AP26" i="2"/>
  <c r="AQ26" i="2"/>
  <c r="AR26" i="2"/>
  <c r="AS26" i="2"/>
  <c r="AT26" i="2"/>
  <c r="AO27" i="2"/>
  <c r="AP27" i="2"/>
  <c r="AQ27" i="2"/>
  <c r="AR27" i="2"/>
  <c r="AS27" i="2"/>
  <c r="AO28" i="2"/>
  <c r="AP28" i="2"/>
  <c r="AR28" i="2"/>
  <c r="AS28" i="2"/>
  <c r="AN24" i="2"/>
  <c r="AN25" i="2"/>
  <c r="AN26" i="2"/>
  <c r="AN9" i="2"/>
  <c r="AN10" i="2"/>
  <c r="AN11" i="2"/>
  <c r="AN8" i="2"/>
  <c r="AL21" i="2"/>
  <c r="AK28" i="2"/>
  <c r="AK27" i="2"/>
  <c r="AK26" i="2"/>
  <c r="AK25" i="2"/>
  <c r="AK24" i="2"/>
  <c r="AK23" i="2"/>
  <c r="AK22" i="2"/>
  <c r="AK21" i="2"/>
  <c r="AJ28" i="2"/>
  <c r="AJ27" i="2"/>
  <c r="AJ26" i="2"/>
  <c r="AJ24" i="2"/>
  <c r="AJ23" i="2"/>
  <c r="AJ22" i="2"/>
  <c r="AJ21" i="2"/>
  <c r="AI28" i="2"/>
  <c r="AI27" i="2"/>
  <c r="AI26" i="2"/>
  <c r="AI25" i="2"/>
  <c r="AI24" i="2"/>
  <c r="AI23" i="2"/>
  <c r="AI22" i="2"/>
  <c r="AI21" i="2"/>
  <c r="AH28" i="2"/>
  <c r="AH27" i="2"/>
  <c r="AH26" i="2"/>
  <c r="AH25" i="2"/>
  <c r="AH24" i="2"/>
  <c r="AH23" i="2"/>
  <c r="AH22" i="2"/>
  <c r="AH21" i="2"/>
  <c r="AG28" i="2"/>
  <c r="AG27" i="2"/>
  <c r="AG26" i="2"/>
  <c r="AG25" i="2"/>
  <c r="AG24" i="2"/>
  <c r="AG23" i="2"/>
  <c r="AG22" i="2"/>
  <c r="AG21" i="2"/>
  <c r="AF28" i="2"/>
  <c r="AF27" i="2"/>
  <c r="AF24" i="2"/>
  <c r="AF23" i="2"/>
  <c r="AF22" i="2"/>
  <c r="AF21" i="2"/>
  <c r="AF6" i="2"/>
  <c r="AL22" i="2"/>
  <c r="AL23" i="2"/>
  <c r="AL24" i="2"/>
  <c r="AL25" i="2"/>
  <c r="AL26" i="2"/>
  <c r="AL27" i="2"/>
  <c r="AL28" i="2"/>
  <c r="AL6" i="2"/>
  <c r="AL35" i="2" s="1"/>
  <c r="AI13" i="2"/>
  <c r="AH12" i="2"/>
  <c r="AJ13" i="2"/>
  <c r="AJ12" i="2"/>
  <c r="AJ11" i="2"/>
  <c r="AJ10" i="2"/>
  <c r="AJ9" i="2"/>
  <c r="AI12" i="2"/>
  <c r="AI11" i="2"/>
  <c r="AI10" i="2"/>
  <c r="AI9" i="2"/>
  <c r="AH13" i="2"/>
  <c r="AH11" i="2"/>
  <c r="AH10" i="2"/>
  <c r="AH9" i="2"/>
  <c r="AF13" i="2"/>
  <c r="AF12" i="2"/>
  <c r="AG13" i="2"/>
  <c r="AG12" i="2"/>
  <c r="AG11" i="2"/>
  <c r="AG10" i="2"/>
  <c r="AG9" i="2"/>
  <c r="AF9" i="2"/>
  <c r="AJ8" i="2"/>
  <c r="AI8" i="2"/>
  <c r="AH8" i="2"/>
  <c r="AG8" i="2"/>
  <c r="AL7" i="2"/>
  <c r="AL8" i="2"/>
  <c r="AL9" i="2"/>
  <c r="AL10" i="2"/>
  <c r="AL11" i="2"/>
  <c r="AL12" i="2"/>
  <c r="AL13" i="2"/>
  <c r="AK12" i="2"/>
  <c r="AK8" i="2"/>
  <c r="AK37" i="2" s="1"/>
  <c r="AK7" i="2"/>
  <c r="AK9" i="2"/>
  <c r="AK38" i="2" s="1"/>
  <c r="AK10" i="2"/>
  <c r="AK11" i="2"/>
  <c r="AK13" i="2"/>
  <c r="AK6" i="2"/>
  <c r="AJ6" i="2"/>
  <c r="AF8" i="2"/>
  <c r="AJ7" i="2"/>
  <c r="AI7" i="2"/>
  <c r="AH7" i="2"/>
  <c r="AG7" i="2"/>
  <c r="AF7" i="2"/>
  <c r="AI6" i="2"/>
  <c r="AH6" i="2"/>
  <c r="AG6" i="2"/>
  <c r="AK35" i="2" l="1"/>
  <c r="AL41" i="2"/>
  <c r="AL39" i="2"/>
  <c r="AL37" i="2"/>
  <c r="AL42" i="2"/>
  <c r="AL40" i="2"/>
  <c r="AL38" i="2"/>
  <c r="AL36" i="2"/>
  <c r="AK39" i="2"/>
  <c r="AK41" i="2"/>
  <c r="AK36" i="2"/>
  <c r="AK40" i="2"/>
  <c r="AK42" i="2"/>
  <c r="O62" i="2"/>
  <c r="P62" i="2"/>
  <c r="I36" i="2"/>
  <c r="I46" i="2"/>
  <c r="I54" i="2"/>
  <c r="I62" i="2"/>
  <c r="C62" i="2"/>
  <c r="X33" i="2" l="1"/>
  <c r="Y33" i="2"/>
  <c r="Z33" i="2"/>
  <c r="AA33" i="2"/>
  <c r="AB33" i="2"/>
  <c r="AC33" i="2"/>
  <c r="W33" i="2"/>
  <c r="AC28" i="2"/>
  <c r="AC27" i="2"/>
  <c r="AC26" i="2"/>
  <c r="AC25" i="2"/>
  <c r="AC24" i="2"/>
  <c r="AC23" i="2"/>
  <c r="AC22" i="2"/>
  <c r="AC21" i="2"/>
  <c r="AC13" i="2"/>
  <c r="AC42" i="2" s="1"/>
  <c r="AC12" i="2"/>
  <c r="AC11" i="2"/>
  <c r="AC40" i="2" s="1"/>
  <c r="AC10" i="2"/>
  <c r="AC39" i="2" s="1"/>
  <c r="AC9" i="2"/>
  <c r="AC38" i="2" s="1"/>
  <c r="AC8" i="2"/>
  <c r="AC37" i="2" s="1"/>
  <c r="AC7" i="2"/>
  <c r="AC6" i="2"/>
  <c r="R62" i="2"/>
  <c r="Q62" i="2"/>
  <c r="N62" i="2"/>
  <c r="M62" i="2"/>
  <c r="L62" i="2"/>
  <c r="K62" i="2"/>
  <c r="J62" i="2"/>
  <c r="H62" i="2"/>
  <c r="G62" i="2"/>
  <c r="F62" i="2"/>
  <c r="E62" i="2"/>
  <c r="D62" i="2"/>
  <c r="AC36" i="2" l="1"/>
  <c r="AT42" i="2" s="1"/>
  <c r="AC35" i="2"/>
  <c r="AC41" i="2"/>
  <c r="AT41" i="2" s="1"/>
  <c r="AB26" i="2"/>
  <c r="AB27" i="2"/>
  <c r="AB28" i="2"/>
  <c r="AB22" i="2"/>
  <c r="AB21" i="2"/>
  <c r="AB25" i="2"/>
  <c r="AB24" i="2"/>
  <c r="AB23" i="2"/>
  <c r="AB13" i="2"/>
  <c r="AB12" i="2"/>
  <c r="AB41" i="2" s="1"/>
  <c r="Q46" i="2"/>
  <c r="AB11" i="2"/>
  <c r="AB40" i="2" s="1"/>
  <c r="AB10" i="2"/>
  <c r="AB9" i="2"/>
  <c r="AB38" i="2" s="1"/>
  <c r="AB8" i="2"/>
  <c r="AB7" i="2"/>
  <c r="AB6" i="2"/>
  <c r="Q36" i="2"/>
  <c r="R36" i="2"/>
  <c r="R46" i="2"/>
  <c r="Q54" i="2"/>
  <c r="R54" i="2"/>
  <c r="H54" i="2"/>
  <c r="C54" i="2"/>
  <c r="D54" i="2"/>
  <c r="P54" i="2"/>
  <c r="O54" i="2"/>
  <c r="N54" i="2"/>
  <c r="M54" i="2"/>
  <c r="L54" i="2"/>
  <c r="K54" i="2"/>
  <c r="J54" i="2"/>
  <c r="G54" i="2"/>
  <c r="F54" i="2"/>
  <c r="E54" i="2"/>
  <c r="AB37" i="2" l="1"/>
  <c r="AB39" i="2"/>
  <c r="AB42" i="2"/>
  <c r="AT37" i="2"/>
  <c r="AT39" i="2"/>
  <c r="AT38" i="2"/>
  <c r="AT40" i="2"/>
  <c r="AB35" i="2"/>
  <c r="AS38" i="2" s="1"/>
  <c r="AB36" i="2"/>
  <c r="AS42" i="2" s="1"/>
  <c r="M17" i="4"/>
  <c r="L17" i="4"/>
  <c r="K5" i="4"/>
  <c r="L3" i="4"/>
  <c r="M3" i="4"/>
  <c r="K3" i="4"/>
  <c r="AJ35" i="2"/>
  <c r="AJ36" i="2"/>
  <c r="L51" i="1"/>
  <c r="L74" i="1"/>
  <c r="B74" i="1"/>
  <c r="B51" i="1"/>
  <c r="B24" i="1"/>
  <c r="L2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5" i="1"/>
  <c r="S50" i="1"/>
  <c r="T50" i="1" s="1"/>
  <c r="R50" i="1"/>
  <c r="Q49" i="1"/>
  <c r="S23" i="1"/>
  <c r="T23" i="1" s="1"/>
  <c r="R23" i="1"/>
  <c r="I23" i="1"/>
  <c r="J23" i="1" s="1"/>
  <c r="H23" i="1"/>
  <c r="I50" i="1"/>
  <c r="J50" i="1" s="1"/>
  <c r="H50" i="1"/>
  <c r="Q73" i="1"/>
  <c r="G73" i="1"/>
  <c r="G49" i="1"/>
  <c r="Q22" i="1"/>
  <c r="G22" i="1"/>
  <c r="S73" i="1"/>
  <c r="R73" i="1"/>
  <c r="I73" i="1"/>
  <c r="H73" i="1"/>
  <c r="I49" i="1"/>
  <c r="H49" i="1"/>
  <c r="S49" i="1"/>
  <c r="T49" i="1" s="1"/>
  <c r="R49" i="1"/>
  <c r="S22" i="1"/>
  <c r="T22" i="1" s="1"/>
  <c r="R22" i="1"/>
  <c r="I22" i="1"/>
  <c r="H22" i="1"/>
  <c r="Q72" i="1"/>
  <c r="I72" i="1"/>
  <c r="S72" i="1"/>
  <c r="R72" i="1"/>
  <c r="H72" i="1"/>
  <c r="G72" i="1"/>
  <c r="S48" i="1"/>
  <c r="R48" i="1"/>
  <c r="I48" i="1"/>
  <c r="H48" i="1"/>
  <c r="S21" i="1"/>
  <c r="R21" i="1"/>
  <c r="I21" i="1"/>
  <c r="H21" i="1"/>
  <c r="Q48" i="1"/>
  <c r="T48" i="1" s="1"/>
  <c r="G48" i="1"/>
  <c r="Q21" i="1"/>
  <c r="T21" i="1" s="1"/>
  <c r="G21" i="1"/>
  <c r="Q71" i="1"/>
  <c r="G71" i="1"/>
  <c r="G47" i="1"/>
  <c r="R20" i="1"/>
  <c r="Q47" i="1"/>
  <c r="Q20" i="1"/>
  <c r="G20" i="1"/>
  <c r="S71" i="1"/>
  <c r="R71" i="1"/>
  <c r="I71" i="1"/>
  <c r="H71" i="1"/>
  <c r="S47" i="1"/>
  <c r="R47" i="1"/>
  <c r="I47" i="1"/>
  <c r="H47" i="1"/>
  <c r="S20" i="1"/>
  <c r="H20" i="1"/>
  <c r="I20" i="1"/>
  <c r="Q70" i="1"/>
  <c r="S70" i="1"/>
  <c r="R70" i="1"/>
  <c r="I70" i="1"/>
  <c r="H70" i="1"/>
  <c r="Q46" i="1"/>
  <c r="R46" i="1"/>
  <c r="S46" i="1"/>
  <c r="I46" i="1"/>
  <c r="G46" i="1"/>
  <c r="H46" i="1"/>
  <c r="G70" i="1"/>
  <c r="S19" i="1"/>
  <c r="R19" i="1"/>
  <c r="Q19" i="1"/>
  <c r="T19" i="1" s="1"/>
  <c r="I19" i="1"/>
  <c r="G19" i="1"/>
  <c r="H19" i="1"/>
  <c r="AS37" i="2" l="1"/>
  <c r="AS39" i="2"/>
  <c r="AS41" i="2"/>
  <c r="AS40" i="2"/>
  <c r="J19" i="1"/>
  <c r="J46" i="1"/>
  <c r="T71" i="1"/>
  <c r="J73" i="1"/>
  <c r="T46" i="1"/>
  <c r="J47" i="1"/>
  <c r="J21" i="1"/>
  <c r="J48" i="1"/>
  <c r="J72" i="1"/>
  <c r="J49" i="1"/>
  <c r="J70" i="1"/>
  <c r="T20" i="1"/>
  <c r="J22" i="1"/>
  <c r="T70" i="1"/>
  <c r="J20" i="1"/>
  <c r="T47" i="1"/>
  <c r="J71" i="1"/>
  <c r="T72" i="1"/>
  <c r="W31" i="3"/>
  <c r="W32" i="3"/>
  <c r="W33" i="3"/>
  <c r="AP21" i="3" s="1"/>
  <c r="W34" i="3"/>
  <c r="W35" i="3"/>
  <c r="W30" i="3"/>
  <c r="W20" i="3"/>
  <c r="W21" i="3"/>
  <c r="W22" i="3"/>
  <c r="AP20" i="3" s="1"/>
  <c r="W23" i="3"/>
  <c r="W24" i="3"/>
  <c r="W19" i="3"/>
  <c r="W8" i="3"/>
  <c r="W9" i="3"/>
  <c r="W10" i="3"/>
  <c r="W11" i="3"/>
  <c r="W12" i="3"/>
  <c r="W7" i="3"/>
  <c r="AP19" i="3"/>
  <c r="AY19" i="3"/>
  <c r="AZ19" i="3"/>
  <c r="BA19" i="3"/>
  <c r="BB19" i="3"/>
  <c r="AY20" i="3"/>
  <c r="AZ20" i="3"/>
  <c r="BA20" i="3"/>
  <c r="BB20" i="3"/>
  <c r="BC20" i="3"/>
  <c r="BD20" i="3"/>
  <c r="BE20" i="3"/>
  <c r="AY21" i="3"/>
  <c r="AZ21" i="3"/>
  <c r="BA21" i="3"/>
  <c r="BB21" i="3"/>
  <c r="BC21" i="3"/>
  <c r="BD21" i="3"/>
  <c r="BE21" i="3"/>
  <c r="AY22" i="3"/>
  <c r="AZ22" i="3"/>
  <c r="BA22" i="3"/>
  <c r="BB22" i="3"/>
  <c r="BC22" i="3"/>
  <c r="BD22" i="3"/>
  <c r="BE22" i="3"/>
  <c r="AY23" i="3"/>
  <c r="AZ23" i="3"/>
  <c r="BA23" i="3"/>
  <c r="BB23" i="3"/>
  <c r="BD23" i="3"/>
  <c r="BE23" i="3"/>
  <c r="AX23" i="3"/>
  <c r="AX22" i="3"/>
  <c r="AX21" i="3"/>
  <c r="AX20" i="3"/>
  <c r="AX19" i="3"/>
  <c r="BD11" i="3"/>
  <c r="AY7" i="3"/>
  <c r="AY8" i="3"/>
  <c r="AY9" i="3"/>
  <c r="AY11" i="3"/>
  <c r="BC11" i="3"/>
  <c r="AP7" i="3"/>
  <c r="AR7" i="3"/>
  <c r="AP8" i="3"/>
  <c r="AR8" i="3"/>
  <c r="AP9" i="3"/>
  <c r="AR9" i="3"/>
  <c r="AR11" i="3"/>
  <c r="AV11" i="3"/>
  <c r="AL60" i="3"/>
  <c r="AK60" i="3"/>
  <c r="AJ60" i="3"/>
  <c r="AI60" i="3"/>
  <c r="AH60" i="3"/>
  <c r="AG60" i="3"/>
  <c r="AF60" i="3"/>
  <c r="AE60" i="3"/>
  <c r="AC60" i="3"/>
  <c r="AB60" i="3"/>
  <c r="AA60" i="3"/>
  <c r="Z60" i="3"/>
  <c r="Y60" i="3"/>
  <c r="X60" i="3"/>
  <c r="W60" i="3"/>
  <c r="V60" i="3"/>
  <c r="AL59" i="3"/>
  <c r="AK59" i="3"/>
  <c r="AJ59" i="3"/>
  <c r="AI59" i="3"/>
  <c r="AH59" i="3"/>
  <c r="AG59" i="3"/>
  <c r="AF59" i="3"/>
  <c r="AE59" i="3"/>
  <c r="AC59" i="3"/>
  <c r="AB59" i="3"/>
  <c r="AA59" i="3"/>
  <c r="Z59" i="3"/>
  <c r="Y59" i="3"/>
  <c r="X59" i="3"/>
  <c r="W59" i="3"/>
  <c r="V59" i="3"/>
  <c r="AL58" i="3"/>
  <c r="AK58" i="3"/>
  <c r="AJ58" i="3"/>
  <c r="BC23" i="3" s="1"/>
  <c r="AI58" i="3"/>
  <c r="AH58" i="3"/>
  <c r="AG58" i="3"/>
  <c r="AF58" i="3"/>
  <c r="AE58" i="3"/>
  <c r="AC58" i="3"/>
  <c r="AV23" i="3" s="1"/>
  <c r="AB58" i="3"/>
  <c r="AU23" i="3" s="1"/>
  <c r="AA58" i="3"/>
  <c r="AT23" i="3" s="1"/>
  <c r="Z58" i="3"/>
  <c r="AS23" i="3" s="1"/>
  <c r="Y58" i="3"/>
  <c r="AR23" i="3" s="1"/>
  <c r="X58" i="3"/>
  <c r="AQ23" i="3" s="1"/>
  <c r="W58" i="3"/>
  <c r="AP23" i="3" s="1"/>
  <c r="V58" i="3"/>
  <c r="AO23" i="3" s="1"/>
  <c r="AL56" i="3"/>
  <c r="AK56" i="3"/>
  <c r="AJ56" i="3"/>
  <c r="AI56" i="3"/>
  <c r="AH56" i="3"/>
  <c r="AG56" i="3"/>
  <c r="AF56" i="3"/>
  <c r="AE56" i="3"/>
  <c r="AC56" i="3"/>
  <c r="AB56" i="3"/>
  <c r="AA56" i="3"/>
  <c r="Z56" i="3"/>
  <c r="Y56" i="3"/>
  <c r="X56" i="3"/>
  <c r="W56" i="3"/>
  <c r="V56" i="3"/>
  <c r="AL55" i="3"/>
  <c r="BE11" i="3" s="1"/>
  <c r="AK55" i="3"/>
  <c r="AJ55" i="3"/>
  <c r="AI55" i="3"/>
  <c r="BB11" i="3" s="1"/>
  <c r="AH55" i="3"/>
  <c r="BA11" i="3" s="1"/>
  <c r="AG55" i="3"/>
  <c r="AZ11" i="3" s="1"/>
  <c r="AF55" i="3"/>
  <c r="AE55" i="3"/>
  <c r="AX11" i="3" s="1"/>
  <c r="AC55" i="3"/>
  <c r="AB55" i="3"/>
  <c r="AU11" i="3" s="1"/>
  <c r="AA55" i="3"/>
  <c r="AT11" i="3" s="1"/>
  <c r="Z55" i="3"/>
  <c r="AS11" i="3" s="1"/>
  <c r="Y55" i="3"/>
  <c r="X55" i="3"/>
  <c r="AQ11" i="3" s="1"/>
  <c r="W55" i="3"/>
  <c r="AP11" i="3" s="1"/>
  <c r="V55" i="3"/>
  <c r="AO11" i="3" s="1"/>
  <c r="Z7" i="3"/>
  <c r="AS7" i="3" s="1"/>
  <c r="Y7" i="3"/>
  <c r="V30" i="3"/>
  <c r="AO9" i="3" s="1"/>
  <c r="V7" i="3"/>
  <c r="AO7" i="3" s="1"/>
  <c r="AJ38" i="2" l="1"/>
  <c r="AJ37" i="2"/>
  <c r="AJ42" i="2"/>
  <c r="AJ41" i="2"/>
  <c r="AJ40" i="2"/>
  <c r="E38" i="2" l="1"/>
  <c r="F38" i="2"/>
  <c r="F37" i="2"/>
  <c r="E37" i="2"/>
  <c r="AA28" i="2"/>
  <c r="AA27" i="2"/>
  <c r="AA26" i="2"/>
  <c r="AA25" i="2"/>
  <c r="AA24" i="2"/>
  <c r="AA23" i="2"/>
  <c r="AA22" i="2"/>
  <c r="AA21" i="2"/>
  <c r="AA13" i="2"/>
  <c r="AA42" i="2" s="1"/>
  <c r="AA12" i="2"/>
  <c r="AA41" i="2" s="1"/>
  <c r="AA7" i="2"/>
  <c r="AA36" i="2" s="1"/>
  <c r="AA8" i="2"/>
  <c r="AA37" i="2" s="1"/>
  <c r="AA11" i="2"/>
  <c r="AA40" i="2" s="1"/>
  <c r="AA10" i="2"/>
  <c r="AA39" i="2" s="1"/>
  <c r="AA9" i="2"/>
  <c r="AA38" i="2" s="1"/>
  <c r="AA6" i="2"/>
  <c r="K46" i="2"/>
  <c r="C46" i="2"/>
  <c r="P46" i="2"/>
  <c r="O46" i="2"/>
  <c r="N46" i="2"/>
  <c r="M46" i="2"/>
  <c r="L46" i="2"/>
  <c r="J46" i="2"/>
  <c r="H46" i="2"/>
  <c r="G46" i="2"/>
  <c r="F46" i="2"/>
  <c r="E46" i="2"/>
  <c r="D46" i="2"/>
  <c r="AA35" i="2" l="1"/>
  <c r="AR39" i="2" s="1"/>
  <c r="AR41" i="2"/>
  <c r="AR42" i="2"/>
  <c r="Y22" i="2"/>
  <c r="E29" i="2"/>
  <c r="Y28" i="2"/>
  <c r="Y27" i="2"/>
  <c r="Y26" i="2"/>
  <c r="Y25" i="2"/>
  <c r="Y24" i="2"/>
  <c r="Y23" i="2"/>
  <c r="Y21" i="2"/>
  <c r="X13" i="2"/>
  <c r="X12" i="2"/>
  <c r="X11" i="2"/>
  <c r="X10" i="2"/>
  <c r="X9" i="2"/>
  <c r="X8" i="2"/>
  <c r="X7" i="2"/>
  <c r="X6" i="2"/>
  <c r="W13" i="2"/>
  <c r="W12" i="2"/>
  <c r="W9" i="2"/>
  <c r="W8" i="2"/>
  <c r="W6" i="2"/>
  <c r="Y13" i="2"/>
  <c r="Y12" i="2"/>
  <c r="Y11" i="2"/>
  <c r="Y10" i="2"/>
  <c r="Y9" i="2"/>
  <c r="Y8" i="2"/>
  <c r="Y7" i="2"/>
  <c r="Y6" i="2"/>
  <c r="AR38" i="2" l="1"/>
  <c r="AR40" i="2"/>
  <c r="AR37" i="2"/>
  <c r="Y36" i="2"/>
  <c r="AI36" i="2"/>
  <c r="AI35" i="2"/>
  <c r="AG36" i="2"/>
  <c r="AI42" i="2"/>
  <c r="AI41" i="2"/>
  <c r="AI40" i="2"/>
  <c r="AI39" i="2"/>
  <c r="AI38" i="2"/>
  <c r="AI37" i="2"/>
  <c r="AH36" i="2" l="1"/>
  <c r="Y37" i="2"/>
  <c r="Y38" i="2"/>
  <c r="Y39" i="2"/>
  <c r="Y40" i="2"/>
  <c r="Y41" i="2"/>
  <c r="Y42" i="2"/>
  <c r="AP42" i="2" s="1"/>
  <c r="X26" i="2"/>
  <c r="X40" i="2" s="1"/>
  <c r="Z26" i="2"/>
  <c r="Z28" i="2"/>
  <c r="Z27" i="2"/>
  <c r="Z25" i="2"/>
  <c r="Z24" i="2"/>
  <c r="Z23" i="2"/>
  <c r="Z22" i="2"/>
  <c r="Z21" i="2"/>
  <c r="Z13" i="2"/>
  <c r="Z12" i="2"/>
  <c r="Z11" i="2"/>
  <c r="Z40" i="2" s="1"/>
  <c r="Z10" i="2"/>
  <c r="Z39" i="2" s="1"/>
  <c r="Z9" i="2"/>
  <c r="Z38" i="2" s="1"/>
  <c r="Z8" i="2"/>
  <c r="Z37" i="2" s="1"/>
  <c r="Z7" i="2"/>
  <c r="Z36" i="2" s="1"/>
  <c r="Z6" i="2"/>
  <c r="Z35" i="2" s="1"/>
  <c r="F36" i="2"/>
  <c r="E36" i="2"/>
  <c r="D36" i="2"/>
  <c r="C36" i="2"/>
  <c r="H36" i="2"/>
  <c r="G36" i="2"/>
  <c r="J36" i="2"/>
  <c r="L36" i="2"/>
  <c r="K36" i="2"/>
  <c r="P36" i="2"/>
  <c r="O36" i="2"/>
  <c r="N36" i="2"/>
  <c r="M36" i="2"/>
  <c r="AF43" i="3"/>
  <c r="AF45" i="3"/>
  <c r="AF46" i="3"/>
  <c r="AF47" i="3"/>
  <c r="AF42" i="3"/>
  <c r="AY10" i="3" s="1"/>
  <c r="W43" i="3"/>
  <c r="W45" i="3"/>
  <c r="W46" i="3"/>
  <c r="W47" i="3"/>
  <c r="W42" i="3"/>
  <c r="AP10" i="3" s="1"/>
  <c r="AC42" i="3"/>
  <c r="AV10" i="3" s="1"/>
  <c r="AB42" i="3"/>
  <c r="AU10" i="3" s="1"/>
  <c r="AA42" i="3"/>
  <c r="AT10" i="3" s="1"/>
  <c r="Z42" i="3"/>
  <c r="AS10" i="3" s="1"/>
  <c r="Y42" i="3"/>
  <c r="AR10" i="3" s="1"/>
  <c r="Y43" i="3"/>
  <c r="X42" i="3"/>
  <c r="AQ10" i="3" s="1"/>
  <c r="V42" i="3"/>
  <c r="AO10" i="3" s="1"/>
  <c r="AL47" i="3"/>
  <c r="AK47" i="3"/>
  <c r="AJ47" i="3"/>
  <c r="AI47" i="3"/>
  <c r="AH47" i="3"/>
  <c r="AG47" i="3"/>
  <c r="AE47" i="3"/>
  <c r="AC47" i="3"/>
  <c r="AB47" i="3"/>
  <c r="AA47" i="3"/>
  <c r="Z47" i="3"/>
  <c r="Y47" i="3"/>
  <c r="X47" i="3"/>
  <c r="V47" i="3"/>
  <c r="AL46" i="3"/>
  <c r="AK46" i="3"/>
  <c r="AJ46" i="3"/>
  <c r="AI46" i="3"/>
  <c r="AH46" i="3"/>
  <c r="AG46" i="3"/>
  <c r="AE46" i="3"/>
  <c r="AC46" i="3"/>
  <c r="AB46" i="3"/>
  <c r="AA46" i="3"/>
  <c r="Z46" i="3"/>
  <c r="Y46" i="3"/>
  <c r="X46" i="3"/>
  <c r="V46" i="3"/>
  <c r="AL45" i="3"/>
  <c r="AK45" i="3"/>
  <c r="AJ45" i="3"/>
  <c r="AI45" i="3"/>
  <c r="AH45" i="3"/>
  <c r="AG45" i="3"/>
  <c r="AE45" i="3"/>
  <c r="AC45" i="3"/>
  <c r="AV22" i="3" s="1"/>
  <c r="AB45" i="3"/>
  <c r="AU22" i="3" s="1"/>
  <c r="AA45" i="3"/>
  <c r="AT22" i="3" s="1"/>
  <c r="Z45" i="3"/>
  <c r="AS22" i="3" s="1"/>
  <c r="Y45" i="3"/>
  <c r="AR22" i="3" s="1"/>
  <c r="X45" i="3"/>
  <c r="AQ22" i="3" s="1"/>
  <c r="V45" i="3"/>
  <c r="AO22" i="3" s="1"/>
  <c r="AL43" i="3"/>
  <c r="AK43" i="3"/>
  <c r="AJ43" i="3"/>
  <c r="AI43" i="3"/>
  <c r="AH43" i="3"/>
  <c r="AG43" i="3"/>
  <c r="AE43" i="3"/>
  <c r="AC43" i="3"/>
  <c r="AB43" i="3"/>
  <c r="AA43" i="3"/>
  <c r="Z43" i="3"/>
  <c r="X43" i="3"/>
  <c r="V43" i="3"/>
  <c r="AL42" i="3"/>
  <c r="BE10" i="3" s="1"/>
  <c r="AK42" i="3"/>
  <c r="BD10" i="3" s="1"/>
  <c r="AJ42" i="3"/>
  <c r="BC10" i="3" s="1"/>
  <c r="AI42" i="3"/>
  <c r="BB10" i="3" s="1"/>
  <c r="AH42" i="3"/>
  <c r="BA10" i="3" s="1"/>
  <c r="AG42" i="3"/>
  <c r="AZ10" i="3" s="1"/>
  <c r="AE42" i="3"/>
  <c r="AX10" i="3" s="1"/>
  <c r="AL35" i="3"/>
  <c r="AK35" i="3"/>
  <c r="AJ35" i="3"/>
  <c r="AI35" i="3"/>
  <c r="AH35" i="3"/>
  <c r="AG35" i="3"/>
  <c r="AE35" i="3"/>
  <c r="AC35" i="3"/>
  <c r="AB35" i="3"/>
  <c r="AA35" i="3"/>
  <c r="Z35" i="3"/>
  <c r="Y35" i="3"/>
  <c r="X35" i="3"/>
  <c r="V35" i="3"/>
  <c r="AL34" i="3"/>
  <c r="AK34" i="3"/>
  <c r="AJ34" i="3"/>
  <c r="AI34" i="3"/>
  <c r="AH34" i="3"/>
  <c r="AG34" i="3"/>
  <c r="AE34" i="3"/>
  <c r="AC34" i="3"/>
  <c r="AB34" i="3"/>
  <c r="AA34" i="3"/>
  <c r="Z34" i="3"/>
  <c r="Y34" i="3"/>
  <c r="X34" i="3"/>
  <c r="V34" i="3"/>
  <c r="AL33" i="3"/>
  <c r="AK33" i="3"/>
  <c r="AJ33" i="3"/>
  <c r="AI33" i="3"/>
  <c r="AH33" i="3"/>
  <c r="AG33" i="3"/>
  <c r="AE33" i="3"/>
  <c r="AC33" i="3"/>
  <c r="AV21" i="3" s="1"/>
  <c r="AB33" i="3"/>
  <c r="AU21" i="3" s="1"/>
  <c r="AA33" i="3"/>
  <c r="AT21" i="3" s="1"/>
  <c r="Z33" i="3"/>
  <c r="AS21" i="3" s="1"/>
  <c r="Y33" i="3"/>
  <c r="AR21" i="3" s="1"/>
  <c r="X33" i="3"/>
  <c r="AQ21" i="3" s="1"/>
  <c r="V33" i="3"/>
  <c r="AO21" i="3" s="1"/>
  <c r="AL31" i="3"/>
  <c r="AK31" i="3"/>
  <c r="AJ31" i="3"/>
  <c r="AI31" i="3"/>
  <c r="AH31" i="3"/>
  <c r="AG31" i="3"/>
  <c r="AE31" i="3"/>
  <c r="AC31" i="3"/>
  <c r="AB31" i="3"/>
  <c r="AA31" i="3"/>
  <c r="Z31" i="3"/>
  <c r="Y31" i="3"/>
  <c r="X31" i="3"/>
  <c r="V31" i="3"/>
  <c r="AL30" i="3"/>
  <c r="BE9" i="3" s="1"/>
  <c r="AK30" i="3"/>
  <c r="BD9" i="3" s="1"/>
  <c r="AJ30" i="3"/>
  <c r="BC9" i="3" s="1"/>
  <c r="AI30" i="3"/>
  <c r="BB9" i="3" s="1"/>
  <c r="AH30" i="3"/>
  <c r="BA9" i="3" s="1"/>
  <c r="AG30" i="3"/>
  <c r="AZ9" i="3" s="1"/>
  <c r="AE30" i="3"/>
  <c r="AX9" i="3" s="1"/>
  <c r="AC30" i="3"/>
  <c r="AV9" i="3" s="1"/>
  <c r="AB30" i="3"/>
  <c r="AU9" i="3" s="1"/>
  <c r="AA30" i="3"/>
  <c r="AT9" i="3" s="1"/>
  <c r="Z30" i="3"/>
  <c r="AS9" i="3" s="1"/>
  <c r="X30" i="3"/>
  <c r="AQ9" i="3" s="1"/>
  <c r="Z41" i="2" l="1"/>
  <c r="AQ41" i="2" s="1"/>
  <c r="Z42" i="2"/>
  <c r="F39" i="2"/>
  <c r="E39" i="2"/>
  <c r="AQ38" i="2"/>
  <c r="AQ37" i="2"/>
  <c r="AQ40" i="2"/>
  <c r="AQ42" i="2"/>
  <c r="X22" i="2"/>
  <c r="X36" i="2" s="1"/>
  <c r="W7" i="2"/>
  <c r="W28" i="2"/>
  <c r="W42" i="2" s="1"/>
  <c r="AN42" i="2" s="1"/>
  <c r="R9" i="2"/>
  <c r="Q9" i="2"/>
  <c r="P9" i="2"/>
  <c r="O9" i="2"/>
  <c r="M9" i="2"/>
  <c r="K9" i="2"/>
  <c r="J9" i="2"/>
  <c r="I9" i="2"/>
  <c r="H9" i="2"/>
  <c r="G9" i="2"/>
  <c r="D9" i="2"/>
  <c r="C9" i="2"/>
  <c r="R18" i="2"/>
  <c r="Q18" i="2"/>
  <c r="P18" i="2"/>
  <c r="O18" i="2"/>
  <c r="N18" i="2"/>
  <c r="M18" i="2"/>
  <c r="L18" i="2"/>
  <c r="K18" i="2"/>
  <c r="J18" i="2"/>
  <c r="I18" i="2"/>
  <c r="H18" i="2"/>
  <c r="G18" i="2"/>
  <c r="D18" i="2"/>
  <c r="C18" i="2"/>
  <c r="AG35" i="2"/>
  <c r="D27" i="2"/>
  <c r="G27" i="2"/>
  <c r="H27" i="2"/>
  <c r="I27" i="2"/>
  <c r="J27" i="2"/>
  <c r="K27" i="2"/>
  <c r="L27" i="2"/>
  <c r="M27" i="2"/>
  <c r="N27" i="2"/>
  <c r="O27" i="2"/>
  <c r="P27" i="2"/>
  <c r="Q27" i="2"/>
  <c r="R27" i="2"/>
  <c r="C27" i="2"/>
  <c r="X28" i="2"/>
  <c r="X42" i="2" s="1"/>
  <c r="X27" i="2"/>
  <c r="X41" i="2" s="1"/>
  <c r="X25" i="2"/>
  <c r="X39" i="2" s="1"/>
  <c r="X24" i="2"/>
  <c r="X38" i="2" s="1"/>
  <c r="X23" i="2"/>
  <c r="X37" i="2" s="1"/>
  <c r="X21" i="2"/>
  <c r="W27" i="2"/>
  <c r="W41" i="2" s="1"/>
  <c r="AN41" i="2" s="1"/>
  <c r="W24" i="2"/>
  <c r="W38" i="2" s="1"/>
  <c r="W23" i="2"/>
  <c r="W37" i="2" s="1"/>
  <c r="W21" i="2"/>
  <c r="AF42" i="2"/>
  <c r="AF38" i="2"/>
  <c r="AL24" i="3"/>
  <c r="AK24" i="3"/>
  <c r="AJ24" i="3"/>
  <c r="AI24" i="3"/>
  <c r="AH24" i="3"/>
  <c r="AG24" i="3"/>
  <c r="AE24" i="3"/>
  <c r="AL23" i="3"/>
  <c r="AK23" i="3"/>
  <c r="AJ23" i="3"/>
  <c r="AI23" i="3"/>
  <c r="AH23" i="3"/>
  <c r="AG23" i="3"/>
  <c r="AE23" i="3"/>
  <c r="AL22" i="3"/>
  <c r="AK22" i="3"/>
  <c r="AJ22" i="3"/>
  <c r="AI22" i="3"/>
  <c r="AH22" i="3"/>
  <c r="AG22" i="3"/>
  <c r="AE22" i="3"/>
  <c r="AL20" i="3"/>
  <c r="AK20" i="3"/>
  <c r="AJ20" i="3"/>
  <c r="AI20" i="3"/>
  <c r="AH20" i="3"/>
  <c r="AG20" i="3"/>
  <c r="AE20" i="3"/>
  <c r="AL19" i="3"/>
  <c r="BE8" i="3" s="1"/>
  <c r="AK19" i="3"/>
  <c r="BD8" i="3" s="1"/>
  <c r="AJ19" i="3"/>
  <c r="BC8" i="3" s="1"/>
  <c r="AI19" i="3"/>
  <c r="BB8" i="3" s="1"/>
  <c r="AH19" i="3"/>
  <c r="BA8" i="3" s="1"/>
  <c r="AG19" i="3"/>
  <c r="AZ8" i="3" s="1"/>
  <c r="AE19" i="3"/>
  <c r="AX8" i="3" s="1"/>
  <c r="AH8" i="3"/>
  <c r="AI8" i="3"/>
  <c r="AJ8" i="3"/>
  <c r="AK8" i="3"/>
  <c r="AL8" i="3"/>
  <c r="AH10" i="3"/>
  <c r="AI10" i="3"/>
  <c r="AJ10" i="3"/>
  <c r="BC19" i="3" s="1"/>
  <c r="AK10" i="3"/>
  <c r="BD19" i="3" s="1"/>
  <c r="AL10" i="3"/>
  <c r="BE19" i="3" s="1"/>
  <c r="AH11" i="3"/>
  <c r="AI11" i="3"/>
  <c r="AJ11" i="3"/>
  <c r="AK11" i="3"/>
  <c r="AL11" i="3"/>
  <c r="AH12" i="3"/>
  <c r="AI12" i="3"/>
  <c r="AJ12" i="3"/>
  <c r="AK12" i="3"/>
  <c r="AL12" i="3"/>
  <c r="AL7" i="3"/>
  <c r="BE7" i="3" s="1"/>
  <c r="AK7" i="3"/>
  <c r="BD7" i="3" s="1"/>
  <c r="AJ7" i="3"/>
  <c r="BC7" i="3" s="1"/>
  <c r="AI7" i="3"/>
  <c r="BB7" i="3" s="1"/>
  <c r="AH7" i="3"/>
  <c r="BA7" i="3" s="1"/>
  <c r="AG8" i="3"/>
  <c r="AG10" i="3"/>
  <c r="AG11" i="3"/>
  <c r="AG12" i="3"/>
  <c r="AG7" i="3"/>
  <c r="AZ7" i="3" s="1"/>
  <c r="AE8" i="3"/>
  <c r="AE10" i="3"/>
  <c r="AE11" i="3"/>
  <c r="AE12" i="3"/>
  <c r="AE7" i="3"/>
  <c r="AX7" i="3" s="1"/>
  <c r="AF37" i="2" l="1"/>
  <c r="AF41" i="2"/>
  <c r="W22" i="2"/>
  <c r="AF36" i="2"/>
  <c r="AO42" i="2"/>
  <c r="AO41" i="2"/>
  <c r="X35" i="2"/>
  <c r="W35" i="2"/>
  <c r="AG38" i="2"/>
  <c r="AG40" i="2"/>
  <c r="AG42" i="2"/>
  <c r="AH37" i="2"/>
  <c r="AH39" i="2"/>
  <c r="AH41" i="2"/>
  <c r="Y35" i="2"/>
  <c r="AG37" i="2"/>
  <c r="AG39" i="2"/>
  <c r="AG41" i="2"/>
  <c r="AH35" i="2"/>
  <c r="AH38" i="2"/>
  <c r="AH40" i="2"/>
  <c r="AH42" i="2"/>
  <c r="N8" i="2"/>
  <c r="AF26" i="2" s="1"/>
  <c r="N7" i="2"/>
  <c r="L7" i="2"/>
  <c r="L8" i="2"/>
  <c r="AF25" i="2" s="1"/>
  <c r="AE35" i="2" l="1"/>
  <c r="AD35" i="2"/>
  <c r="W11" i="2"/>
  <c r="AF11" i="2"/>
  <c r="W10" i="2"/>
  <c r="AF10" i="2"/>
  <c r="AF39" i="2" s="1"/>
  <c r="W36" i="2"/>
  <c r="AP39" i="2"/>
  <c r="AP37" i="2"/>
  <c r="AP40" i="2"/>
  <c r="AP38" i="2"/>
  <c r="AO39" i="2"/>
  <c r="AO40" i="2"/>
  <c r="AO38" i="2"/>
  <c r="W26" i="2"/>
  <c r="L9" i="2"/>
  <c r="AJ25" i="2" s="1"/>
  <c r="W25" i="2"/>
  <c r="N9" i="2"/>
  <c r="AF40" i="2"/>
  <c r="AC24" i="3"/>
  <c r="AB24" i="3"/>
  <c r="AA24" i="3"/>
  <c r="Z24" i="3"/>
  <c r="Y24" i="3"/>
  <c r="X24" i="3"/>
  <c r="V24" i="3"/>
  <c r="AC23" i="3"/>
  <c r="AB23" i="3"/>
  <c r="AA23" i="3"/>
  <c r="Z23" i="3"/>
  <c r="Y23" i="3"/>
  <c r="X23" i="3"/>
  <c r="V23" i="3"/>
  <c r="AC22" i="3"/>
  <c r="AV20" i="3" s="1"/>
  <c r="AB22" i="3"/>
  <c r="AU20" i="3" s="1"/>
  <c r="AA22" i="3"/>
  <c r="AT20" i="3" s="1"/>
  <c r="Z22" i="3"/>
  <c r="AS20" i="3" s="1"/>
  <c r="Y22" i="3"/>
  <c r="AR20" i="3" s="1"/>
  <c r="X22" i="3"/>
  <c r="AQ20" i="3" s="1"/>
  <c r="V22" i="3"/>
  <c r="AC20" i="3"/>
  <c r="AB20" i="3"/>
  <c r="AA20" i="3"/>
  <c r="Z20" i="3"/>
  <c r="Y20" i="3"/>
  <c r="X20" i="3"/>
  <c r="V20" i="3"/>
  <c r="AC19" i="3"/>
  <c r="AV8" i="3" s="1"/>
  <c r="AB19" i="3"/>
  <c r="AU8" i="3" s="1"/>
  <c r="AA19" i="3"/>
  <c r="AT8" i="3" s="1"/>
  <c r="Z19" i="3"/>
  <c r="AS8" i="3" s="1"/>
  <c r="X19" i="3"/>
  <c r="AQ8" i="3" s="1"/>
  <c r="V19" i="3"/>
  <c r="AO8" i="3" s="1"/>
  <c r="X8" i="3"/>
  <c r="Y8" i="3"/>
  <c r="Z8" i="3"/>
  <c r="AA8" i="3"/>
  <c r="AB8" i="3"/>
  <c r="AC8" i="3"/>
  <c r="X10" i="3"/>
  <c r="AQ19" i="3" s="1"/>
  <c r="Y10" i="3"/>
  <c r="AR19" i="3" s="1"/>
  <c r="Z10" i="3"/>
  <c r="AS19" i="3" s="1"/>
  <c r="AA10" i="3"/>
  <c r="AT19" i="3" s="1"/>
  <c r="AB10" i="3"/>
  <c r="AU19" i="3" s="1"/>
  <c r="AC10" i="3"/>
  <c r="AV19" i="3" s="1"/>
  <c r="X11" i="3"/>
  <c r="Y11" i="3"/>
  <c r="Z11" i="3"/>
  <c r="AA11" i="3"/>
  <c r="AB11" i="3"/>
  <c r="AC11" i="3"/>
  <c r="X12" i="3"/>
  <c r="Y12" i="3"/>
  <c r="Z12" i="3"/>
  <c r="AA12" i="3"/>
  <c r="AB12" i="3"/>
  <c r="AC12" i="3"/>
  <c r="AC7" i="3"/>
  <c r="AV7" i="3" s="1"/>
  <c r="AB7" i="3"/>
  <c r="AU7" i="3" s="1"/>
  <c r="AA7" i="3"/>
  <c r="AT7" i="3" s="1"/>
  <c r="X7" i="3"/>
  <c r="AQ7" i="3" s="1"/>
  <c r="V8" i="3"/>
  <c r="V10" i="3"/>
  <c r="AO19" i="3" s="1"/>
  <c r="V11" i="3"/>
  <c r="V12" i="3"/>
  <c r="AJ39" i="2" l="1"/>
  <c r="W40" i="2"/>
  <c r="AN40" i="2" s="1"/>
  <c r="W39" i="2"/>
  <c r="G69" i="1"/>
  <c r="S69" i="1"/>
  <c r="I69" i="1"/>
  <c r="R69" i="1"/>
  <c r="Q69" i="1"/>
  <c r="H69" i="1"/>
  <c r="J69" i="1"/>
  <c r="Q17" i="1"/>
  <c r="Q18" i="1"/>
  <c r="Q45" i="1"/>
  <c r="G45" i="1"/>
  <c r="S45" i="1"/>
  <c r="R45" i="1"/>
  <c r="T45" i="1"/>
  <c r="I45" i="1"/>
  <c r="H45" i="1"/>
  <c r="S18" i="1"/>
  <c r="R18" i="1"/>
  <c r="I68" i="1"/>
  <c r="S68" i="1"/>
  <c r="S44" i="1"/>
  <c r="I44" i="1"/>
  <c r="S17" i="1"/>
  <c r="S16" i="1"/>
  <c r="S43" i="1"/>
  <c r="I43" i="1"/>
  <c r="J43" i="1" s="1"/>
  <c r="I17" i="1"/>
  <c r="I18" i="1"/>
  <c r="G18" i="1"/>
  <c r="H18" i="1"/>
  <c r="Q67" i="1"/>
  <c r="Q68" i="1"/>
  <c r="Q65" i="1"/>
  <c r="G67" i="1"/>
  <c r="G68" i="1"/>
  <c r="G65" i="1"/>
  <c r="J65" i="1" s="1"/>
  <c r="Q42" i="1"/>
  <c r="Q43" i="1"/>
  <c r="Q44" i="1"/>
  <c r="T44" i="1" s="1"/>
  <c r="Q41" i="1"/>
  <c r="G41" i="1"/>
  <c r="G42" i="1"/>
  <c r="G43" i="1"/>
  <c r="G44" i="1"/>
  <c r="Q15" i="1"/>
  <c r="Q16" i="1"/>
  <c r="Q14" i="1"/>
  <c r="G15" i="1"/>
  <c r="G16" i="1"/>
  <c r="G17" i="1"/>
  <c r="G14" i="1"/>
  <c r="R68" i="1"/>
  <c r="J68" i="1"/>
  <c r="H68" i="1"/>
  <c r="R44" i="1"/>
  <c r="J44" i="1"/>
  <c r="H44" i="1"/>
  <c r="R17" i="1"/>
  <c r="H17" i="1"/>
  <c r="S67" i="1"/>
  <c r="R67" i="1"/>
  <c r="I67" i="1"/>
  <c r="H67" i="1"/>
  <c r="R43" i="1"/>
  <c r="H43" i="1"/>
  <c r="R16" i="1"/>
  <c r="I16" i="1"/>
  <c r="H16" i="1"/>
  <c r="S42" i="1"/>
  <c r="R42" i="1"/>
  <c r="I42" i="1"/>
  <c r="H42" i="1"/>
  <c r="S15" i="1"/>
  <c r="R15" i="1"/>
  <c r="I15" i="1"/>
  <c r="H15" i="1"/>
  <c r="S41" i="1"/>
  <c r="R41" i="1"/>
  <c r="I41" i="1"/>
  <c r="H41" i="1"/>
  <c r="S14" i="1"/>
  <c r="R14" i="1"/>
  <c r="I14" i="1"/>
  <c r="H14" i="1"/>
  <c r="S65" i="1"/>
  <c r="R65" i="1"/>
  <c r="I65" i="1"/>
  <c r="H65" i="1"/>
  <c r="Q40" i="1"/>
  <c r="S40" i="1"/>
  <c r="R40" i="1"/>
  <c r="G40" i="1"/>
  <c r="I40" i="1"/>
  <c r="H40" i="1"/>
  <c r="Q13" i="1"/>
  <c r="S13" i="1"/>
  <c r="R13" i="1"/>
  <c r="I13" i="1"/>
  <c r="H13" i="1"/>
  <c r="G13" i="1"/>
  <c r="J13" i="1" s="1"/>
  <c r="Q64" i="1"/>
  <c r="S64" i="1"/>
  <c r="R64" i="1"/>
  <c r="I64" i="1"/>
  <c r="J64" i="1" s="1"/>
  <c r="H64" i="1"/>
  <c r="S39" i="1"/>
  <c r="T39" i="1" s="1"/>
  <c r="R39" i="1"/>
  <c r="I39" i="1"/>
  <c r="J39" i="1" s="1"/>
  <c r="H39" i="1"/>
  <c r="S12" i="1"/>
  <c r="T12" i="1" s="1"/>
  <c r="R12" i="1"/>
  <c r="I12" i="1"/>
  <c r="J12" i="1" s="1"/>
  <c r="H11" i="1"/>
  <c r="H12" i="1"/>
  <c r="S11" i="1"/>
  <c r="T11" i="1" s="1"/>
  <c r="R11" i="1"/>
  <c r="I11" i="1"/>
  <c r="J11" i="1" s="1"/>
  <c r="S38" i="1"/>
  <c r="T38" i="1" s="1"/>
  <c r="R38" i="1"/>
  <c r="I38" i="1"/>
  <c r="J38" i="1" s="1"/>
  <c r="H38" i="1"/>
  <c r="H37" i="1"/>
  <c r="T67" i="1" l="1"/>
  <c r="J15" i="1"/>
  <c r="J67" i="1"/>
  <c r="T13" i="1"/>
  <c r="T40" i="1"/>
  <c r="J45" i="1"/>
  <c r="T18" i="1"/>
  <c r="J40" i="1"/>
  <c r="T68" i="1"/>
  <c r="T14" i="1"/>
  <c r="J18" i="1"/>
  <c r="T65" i="1"/>
  <c r="T41" i="1"/>
  <c r="J42" i="1"/>
  <c r="J17" i="1"/>
  <c r="T64" i="1"/>
  <c r="J41" i="1"/>
  <c r="T15" i="1"/>
  <c r="T42" i="1"/>
  <c r="T16" i="1"/>
  <c r="T17" i="1"/>
  <c r="J16" i="1"/>
  <c r="J14" i="1"/>
  <c r="S37" i="1"/>
  <c r="T37" i="1" s="1"/>
  <c r="R37" i="1"/>
  <c r="I37" i="1"/>
  <c r="J37" i="1" s="1"/>
  <c r="S62" i="1"/>
  <c r="T62" i="1" s="1"/>
  <c r="R62" i="1"/>
  <c r="I62" i="1"/>
  <c r="J62" i="1" s="1"/>
  <c r="H62" i="1"/>
  <c r="S61" i="1"/>
  <c r="T61" i="1" s="1"/>
  <c r="R61" i="1"/>
  <c r="I61" i="1"/>
  <c r="J61" i="1" s="1"/>
  <c r="H61" i="1"/>
  <c r="S36" i="1"/>
  <c r="T36" i="1" s="1"/>
  <c r="R36" i="1"/>
  <c r="I36" i="1"/>
  <c r="J36" i="1" s="1"/>
  <c r="H36" i="1"/>
  <c r="S9" i="1"/>
  <c r="T9" i="1" s="1"/>
  <c r="R9" i="1"/>
  <c r="I9" i="1"/>
  <c r="J9" i="1" s="1"/>
  <c r="H9" i="1"/>
  <c r="J26" i="1" l="1"/>
  <c r="T26" i="1"/>
  <c r="J52" i="1"/>
  <c r="J77" i="1"/>
  <c r="T77" i="1"/>
  <c r="T52" i="1"/>
  <c r="S59" i="1"/>
  <c r="T59" i="1" s="1"/>
  <c r="R59" i="1"/>
  <c r="I59" i="1"/>
  <c r="J59" i="1" s="1"/>
  <c r="H59" i="1"/>
  <c r="S58" i="1"/>
  <c r="T58" i="1" s="1"/>
  <c r="R58" i="1"/>
  <c r="I58" i="1"/>
  <c r="J58" i="1" s="1"/>
  <c r="H58" i="1"/>
  <c r="S34" i="1"/>
  <c r="T34" i="1" s="1"/>
  <c r="R34" i="1"/>
  <c r="I34" i="1"/>
  <c r="J34" i="1" s="1"/>
  <c r="H34" i="1"/>
  <c r="S33" i="1"/>
  <c r="T33" i="1" s="1"/>
  <c r="R33" i="1"/>
  <c r="I33" i="1"/>
  <c r="J33" i="1" s="1"/>
  <c r="H33" i="1"/>
  <c r="R7" i="1"/>
  <c r="R6" i="1"/>
  <c r="S7" i="1"/>
  <c r="T7" i="1" s="1"/>
  <c r="S6" i="1"/>
  <c r="T6" i="1" s="1"/>
  <c r="I7" i="1"/>
  <c r="J7" i="1" s="1"/>
  <c r="H7" i="1"/>
  <c r="I6" i="1"/>
  <c r="J6" i="1" s="1"/>
  <c r="H6" i="1"/>
</calcChain>
</file>

<file path=xl/sharedStrings.xml><?xml version="1.0" encoding="utf-8"?>
<sst xmlns="http://schemas.openxmlformats.org/spreadsheetml/2006/main" count="1228" uniqueCount="117">
  <si>
    <t xml:space="preserve">Thursday </t>
  </si>
  <si>
    <t>Friday</t>
  </si>
  <si>
    <t>Saturday</t>
  </si>
  <si>
    <t>Sunday</t>
  </si>
  <si>
    <t>Monday</t>
  </si>
  <si>
    <t>Tuesday</t>
  </si>
  <si>
    <t>Wednesday</t>
  </si>
  <si>
    <t>Thursday</t>
  </si>
  <si>
    <t>ΔV</t>
  </si>
  <si>
    <t>ΔT</t>
  </si>
  <si>
    <t>Q</t>
  </si>
  <si>
    <t>-</t>
  </si>
  <si>
    <t xml:space="preserve"> End</t>
  </si>
  <si>
    <t>Start</t>
  </si>
  <si>
    <t>(mL)</t>
  </si>
  <si>
    <t>(min)</t>
  </si>
  <si>
    <t>(hh:mm)</t>
  </si>
  <si>
    <t>(ml/min)</t>
  </si>
  <si>
    <t>SAND 1</t>
  </si>
  <si>
    <t>SAND 2</t>
  </si>
  <si>
    <t>GAC1</t>
  </si>
  <si>
    <t>GAC2</t>
  </si>
  <si>
    <t>SAND STR</t>
  </si>
  <si>
    <t>GAC STR</t>
  </si>
  <si>
    <t>Wtot</t>
  </si>
  <si>
    <t>(g)</t>
  </si>
  <si>
    <t>WbSand</t>
  </si>
  <si>
    <t>WbGAC1</t>
  </si>
  <si>
    <t>WbGAC2</t>
  </si>
  <si>
    <t>WbGAC STR</t>
  </si>
  <si>
    <t>WbSand STR</t>
  </si>
  <si>
    <t>Fluoride</t>
  </si>
  <si>
    <t>Chloride</t>
  </si>
  <si>
    <t>Nitrate</t>
  </si>
  <si>
    <t>Phosphate</t>
  </si>
  <si>
    <t>Sulphate</t>
  </si>
  <si>
    <t>T0</t>
  </si>
  <si>
    <t>IN A</t>
  </si>
  <si>
    <t>IN B</t>
  </si>
  <si>
    <t>SAND 1A</t>
  </si>
  <si>
    <t>SAND 1B</t>
  </si>
  <si>
    <t>SAND 2A</t>
  </si>
  <si>
    <t>SAND 2B</t>
  </si>
  <si>
    <t>GAC1A</t>
  </si>
  <si>
    <t>GAC1B</t>
  </si>
  <si>
    <t>GAC2A</t>
  </si>
  <si>
    <t>GAC2B</t>
  </si>
  <si>
    <t>GAC STR A</t>
  </si>
  <si>
    <t>GAC STR B</t>
  </si>
  <si>
    <t>SAND STR A</t>
  </si>
  <si>
    <t>SAND STR B</t>
  </si>
  <si>
    <t xml:space="preserve">IN </t>
  </si>
  <si>
    <t>T6</t>
  </si>
  <si>
    <t>TC</t>
  </si>
  <si>
    <t>IC</t>
  </si>
  <si>
    <t>TOC</t>
  </si>
  <si>
    <t>T19</t>
  </si>
  <si>
    <t>(mg/l)</t>
  </si>
  <si>
    <t>a</t>
  </si>
  <si>
    <t>b</t>
  </si>
  <si>
    <t>TC-ST.Dev</t>
  </si>
  <si>
    <t>IC-ST.Dev</t>
  </si>
  <si>
    <t xml:space="preserve">Nitrite </t>
  </si>
  <si>
    <t>T26</t>
  </si>
  <si>
    <t>IN STR B</t>
  </si>
  <si>
    <t xml:space="preserve">SAND STR </t>
  </si>
  <si>
    <t xml:space="preserve">GAC STR </t>
  </si>
  <si>
    <t>TC-A</t>
  </si>
  <si>
    <t>IC-A</t>
  </si>
  <si>
    <t>TOC-A</t>
  </si>
  <si>
    <t>TC SAND 2</t>
  </si>
  <si>
    <t>TC GAC1</t>
  </si>
  <si>
    <t>TC GAC2</t>
  </si>
  <si>
    <t xml:space="preserve">TC GAC STR </t>
  </si>
  <si>
    <t>TC SAND STR</t>
  </si>
  <si>
    <t>TC SAND 1</t>
  </si>
  <si>
    <t>IN  STR A</t>
  </si>
  <si>
    <t>IN STR</t>
  </si>
  <si>
    <t>T34</t>
  </si>
  <si>
    <t xml:space="preserve">GAC1 </t>
  </si>
  <si>
    <t xml:space="preserve">Average </t>
  </si>
  <si>
    <t xml:space="preserve">Dv. ST </t>
  </si>
  <si>
    <t xml:space="preserve">Average Fluoride </t>
  </si>
  <si>
    <t xml:space="preserve">Dv.ST Fluoride </t>
  </si>
  <si>
    <t>Average Nitrate</t>
  </si>
  <si>
    <t>Dv.ST Nitrate</t>
  </si>
  <si>
    <t xml:space="preserve">IN  STR </t>
  </si>
  <si>
    <t>&lt;0.03</t>
  </si>
  <si>
    <t xml:space="preserve">Sand 1 </t>
  </si>
  <si>
    <t>Sand 2</t>
  </si>
  <si>
    <t>T43</t>
  </si>
  <si>
    <t>T56</t>
  </si>
  <si>
    <t>Flow rate(mL/min)</t>
  </si>
  <si>
    <t>H-Columns (cm)</t>
  </si>
  <si>
    <t>H-Filter media</t>
  </si>
  <si>
    <t>HLR (m/h)</t>
  </si>
  <si>
    <r>
      <t>Temperature (</t>
    </r>
    <r>
      <rPr>
        <b/>
        <sz val="11"/>
        <color theme="1"/>
        <rFont val="Calibri"/>
        <family val="2"/>
      </rPr>
      <t>◦C)</t>
    </r>
  </si>
  <si>
    <r>
      <t>21.9</t>
    </r>
    <r>
      <rPr>
        <sz val="11"/>
        <color theme="1"/>
        <rFont val="Calibri"/>
        <family val="2"/>
      </rPr>
      <t>±</t>
    </r>
    <r>
      <rPr>
        <sz val="9.35"/>
        <color theme="1"/>
        <rFont val="Calibri"/>
        <family val="2"/>
      </rPr>
      <t>2</t>
    </r>
  </si>
  <si>
    <t>Particle size (mm)</t>
  </si>
  <si>
    <t>0.29-0.21</t>
  </si>
  <si>
    <t>0.84-0.25</t>
  </si>
  <si>
    <r>
      <t>Head Loss through the filter  (h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/L</t>
    </r>
    <r>
      <rPr>
        <b/>
        <vertAlign val="subscript"/>
        <sz val="11"/>
        <color theme="1"/>
        <rFont val="Calibri"/>
        <family val="2"/>
        <scheme val="minor"/>
      </rPr>
      <t>f)</t>
    </r>
  </si>
  <si>
    <t>Total Headloss (cm)</t>
  </si>
  <si>
    <t>T47</t>
  </si>
  <si>
    <t xml:space="preserve">DOC IN </t>
  </si>
  <si>
    <t>DOC SAND 1</t>
  </si>
  <si>
    <t>DOC SAND 2</t>
  </si>
  <si>
    <t>DOC GAC1</t>
  </si>
  <si>
    <t>DOC GAC2</t>
  </si>
  <si>
    <t>DOC SAND STR</t>
  </si>
  <si>
    <t xml:space="preserve">DOC GAC STR </t>
  </si>
  <si>
    <t>IN</t>
  </si>
  <si>
    <t>SAND</t>
  </si>
  <si>
    <t>GAC</t>
  </si>
  <si>
    <t>TC-%</t>
  </si>
  <si>
    <t>IC-%</t>
  </si>
  <si>
    <t>TOC-%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</si>
</sst>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-F400]h:mm:ss\ AM/PM"/>
    <numFmt numFmtId="165" formatCode="&quot;£&quot;#,##0.00"/>
    <numFmt numFmtId="166" formatCode="0.000"/>
    <numFmt numFmtId="167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.35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92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0" fillId="0" borderId="8" xfId="0" applyBorder="1"/>
    <xf numFmtId="46" fontId="0" fillId="0" borderId="1" xfId="0" applyNumberFormat="1" applyBorder="1"/>
    <xf numFmtId="0" fontId="0" fillId="0" borderId="0" xfId="0" applyBorder="1"/>
    <xf numFmtId="14" fontId="0" fillId="0" borderId="0" xfId="0" applyNumberFormat="1" applyBorder="1"/>
    <xf numFmtId="22" fontId="0" fillId="0" borderId="0" xfId="0" applyNumberFormat="1" applyBorder="1"/>
    <xf numFmtId="46" fontId="0" fillId="0" borderId="0" xfId="0" applyNumberFormat="1" applyBorder="1"/>
    <xf numFmtId="2" fontId="0" fillId="0" borderId="0" xfId="0" applyNumberFormat="1" applyBorder="1"/>
    <xf numFmtId="0" fontId="1" fillId="0" borderId="0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5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center"/>
    </xf>
    <xf numFmtId="165" fontId="1" fillId="0" borderId="10" xfId="0" applyNumberFormat="1" applyFont="1" applyFill="1" applyBorder="1" applyAlignment="1">
      <alignment horizontal="center" vertical="top" wrapText="1"/>
    </xf>
    <xf numFmtId="165" fontId="1" fillId="0" borderId="11" xfId="0" applyNumberFormat="1" applyFont="1" applyFill="1" applyBorder="1" applyAlignment="1">
      <alignment horizontal="center" vertical="top" wrapText="1"/>
    </xf>
    <xf numFmtId="165" fontId="1" fillId="0" borderId="12" xfId="0" applyNumberFormat="1" applyFont="1" applyFill="1" applyBorder="1" applyAlignment="1">
      <alignment horizontal="center" vertical="top" wrapText="1"/>
    </xf>
    <xf numFmtId="165" fontId="0" fillId="0" borderId="20" xfId="0" applyNumberFormat="1" applyFont="1" applyFill="1" applyBorder="1" applyAlignment="1">
      <alignment horizontal="center" vertical="top" wrapText="1"/>
    </xf>
    <xf numFmtId="165" fontId="0" fillId="0" borderId="21" xfId="0" applyNumberFormat="1" applyFont="1" applyFill="1" applyBorder="1" applyAlignment="1">
      <alignment horizontal="center" vertical="top" wrapText="1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24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3" xfId="0" applyBorder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6" fontId="0" fillId="0" borderId="0" xfId="0" applyNumberFormat="1"/>
    <xf numFmtId="0" fontId="0" fillId="0" borderId="0" xfId="0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/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5" xfId="0" applyBorder="1"/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0" fillId="0" borderId="27" xfId="0" applyBorder="1"/>
    <xf numFmtId="165" fontId="0" fillId="0" borderId="0" xfId="0" applyNumberFormat="1" applyFont="1" applyFill="1" applyBorder="1" applyAlignment="1">
      <alignment horizontal="center" vertical="top" wrapText="1"/>
    </xf>
    <xf numFmtId="165" fontId="1" fillId="0" borderId="18" xfId="0" applyNumberFormat="1" applyFont="1" applyFill="1" applyBorder="1" applyAlignment="1">
      <alignment horizontal="center" vertical="top" wrapText="1"/>
    </xf>
    <xf numFmtId="165" fontId="1" fillId="0" borderId="17" xfId="0" applyNumberFormat="1" applyFont="1" applyFill="1" applyBorder="1" applyAlignment="1">
      <alignment horizontal="center" vertical="top" wrapText="1"/>
    </xf>
    <xf numFmtId="165" fontId="1" fillId="0" borderId="19" xfId="0" applyNumberFormat="1" applyFont="1" applyFill="1" applyBorder="1" applyAlignment="1">
      <alignment horizontal="center" vertical="top" wrapText="1"/>
    </xf>
    <xf numFmtId="165" fontId="0" fillId="0" borderId="24" xfId="0" applyNumberFormat="1" applyFont="1" applyFill="1" applyBorder="1" applyAlignment="1">
      <alignment horizontal="center" vertical="top" wrapText="1"/>
    </xf>
    <xf numFmtId="165" fontId="0" fillId="0" borderId="22" xfId="0" applyNumberFormat="1" applyFont="1" applyFill="1" applyBorder="1" applyAlignment="1">
      <alignment horizontal="center" vertical="top" wrapText="1"/>
    </xf>
    <xf numFmtId="165" fontId="0" fillId="0" borderId="23" xfId="0" applyNumberFormat="1" applyFont="1" applyFill="1" applyBorder="1" applyAlignment="1">
      <alignment horizontal="center" vertical="top" wrapText="1"/>
    </xf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0" borderId="14" xfId="0" applyFont="1" applyBorder="1"/>
    <xf numFmtId="0" fontId="8" fillId="0" borderId="31" xfId="0" applyFont="1" applyBorder="1"/>
    <xf numFmtId="0" fontId="8" fillId="0" borderId="32" xfId="0" applyFont="1" applyBorder="1"/>
    <xf numFmtId="0" fontId="5" fillId="0" borderId="29" xfId="0" applyFont="1" applyBorder="1"/>
    <xf numFmtId="0" fontId="5" fillId="0" borderId="26" xfId="0" applyFont="1" applyBorder="1"/>
    <xf numFmtId="0" fontId="0" fillId="0" borderId="0" xfId="0" applyAlignment="1">
      <alignment horizontal="right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0" fillId="0" borderId="1" xfId="0" applyFill="1" applyBorder="1"/>
    <xf numFmtId="22" fontId="0" fillId="0" borderId="3" xfId="0" applyNumberFormat="1" applyBorder="1"/>
    <xf numFmtId="0" fontId="0" fillId="0" borderId="3" xfId="0" applyBorder="1"/>
    <xf numFmtId="0" fontId="0" fillId="0" borderId="4" xfId="0" applyBorder="1"/>
    <xf numFmtId="2" fontId="0" fillId="0" borderId="9" xfId="0" applyNumberFormat="1" applyBorder="1"/>
    <xf numFmtId="0" fontId="0" fillId="0" borderId="9" xfId="0" applyBorder="1"/>
    <xf numFmtId="22" fontId="0" fillId="0" borderId="6" xfId="0" applyNumberFormat="1" applyBorder="1"/>
    <xf numFmtId="0" fontId="0" fillId="0" borderId="6" xfId="0" applyBorder="1"/>
    <xf numFmtId="46" fontId="0" fillId="0" borderId="6" xfId="0" applyNumberFormat="1" applyBorder="1"/>
    <xf numFmtId="2" fontId="0" fillId="0" borderId="7" xfId="0" applyNumberFormat="1" applyBorder="1"/>
    <xf numFmtId="14" fontId="0" fillId="0" borderId="1" xfId="0" applyNumberFormat="1" applyBorder="1"/>
    <xf numFmtId="2" fontId="4" fillId="0" borderId="16" xfId="0" applyNumberFormat="1" applyFont="1" applyBorder="1"/>
    <xf numFmtId="46" fontId="8" fillId="0" borderId="0" xfId="0" applyNumberFormat="1" applyFont="1" applyBorder="1"/>
    <xf numFmtId="14" fontId="0" fillId="0" borderId="3" xfId="0" applyNumberFormat="1" applyBorder="1"/>
    <xf numFmtId="14" fontId="0" fillId="0" borderId="6" xfId="0" applyNumberFormat="1" applyBorder="1"/>
    <xf numFmtId="2" fontId="0" fillId="0" borderId="18" xfId="0" applyNumberFormat="1" applyBorder="1"/>
    <xf numFmtId="2" fontId="0" fillId="0" borderId="17" xfId="0" applyNumberFormat="1" applyBorder="1"/>
    <xf numFmtId="2" fontId="0" fillId="0" borderId="19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20" xfId="0" applyNumberFormat="1" applyBorder="1"/>
    <xf numFmtId="2" fontId="0" fillId="0" borderId="24" xfId="0" applyNumberFormat="1" applyBorder="1"/>
    <xf numFmtId="2" fontId="0" fillId="0" borderId="21" xfId="0" applyNumberFormat="1" applyBorder="1"/>
    <xf numFmtId="165" fontId="1" fillId="0" borderId="16" xfId="0" applyNumberFormat="1" applyFont="1" applyFill="1" applyBorder="1" applyAlignment="1">
      <alignment horizontal="center" vertical="top" wrapText="1"/>
    </xf>
    <xf numFmtId="0" fontId="0" fillId="0" borderId="45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46" xfId="0" applyFont="1" applyFill="1" applyBorder="1"/>
    <xf numFmtId="0" fontId="1" fillId="0" borderId="47" xfId="0" applyFont="1" applyFill="1" applyBorder="1"/>
    <xf numFmtId="0" fontId="0" fillId="0" borderId="48" xfId="0" applyBorder="1"/>
    <xf numFmtId="165" fontId="1" fillId="0" borderId="0" xfId="0" applyNumberFormat="1" applyFont="1" applyFill="1" applyBorder="1" applyAlignment="1">
      <alignment horizontal="left" vertical="top" wrapText="1"/>
    </xf>
    <xf numFmtId="9" fontId="0" fillId="0" borderId="0" xfId="1" applyFont="1" applyBorder="1"/>
    <xf numFmtId="165" fontId="1" fillId="0" borderId="18" xfId="0" applyNumberFormat="1" applyFont="1" applyFill="1" applyBorder="1" applyAlignment="1">
      <alignment horizontal="left" vertical="top" wrapText="1"/>
    </xf>
    <xf numFmtId="165" fontId="1" fillId="0" borderId="22" xfId="0" applyNumberFormat="1" applyFont="1" applyFill="1" applyBorder="1" applyAlignment="1">
      <alignment horizontal="left" vertical="top" wrapText="1"/>
    </xf>
    <xf numFmtId="165" fontId="1" fillId="0" borderId="20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9" fillId="0" borderId="0" xfId="1" applyFont="1" applyBorder="1"/>
    <xf numFmtId="9" fontId="0" fillId="0" borderId="18" xfId="1" applyFont="1" applyBorder="1"/>
    <xf numFmtId="9" fontId="0" fillId="0" borderId="17" xfId="1" applyFont="1" applyBorder="1"/>
    <xf numFmtId="9" fontId="0" fillId="0" borderId="19" xfId="1" applyFont="1" applyBorder="1"/>
    <xf numFmtId="9" fontId="0" fillId="0" borderId="22" xfId="1" applyFont="1" applyBorder="1"/>
    <xf numFmtId="9" fontId="0" fillId="0" borderId="23" xfId="1" applyFont="1" applyBorder="1"/>
    <xf numFmtId="9" fontId="0" fillId="0" borderId="20" xfId="1" applyFont="1" applyBorder="1"/>
    <xf numFmtId="9" fontId="0" fillId="0" borderId="24" xfId="1" applyFont="1" applyBorder="1"/>
    <xf numFmtId="9" fontId="9" fillId="0" borderId="24" xfId="1" applyFont="1" applyBorder="1"/>
    <xf numFmtId="9" fontId="0" fillId="0" borderId="21" xfId="1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4" xfId="0" applyFont="1" applyBorder="1"/>
    <xf numFmtId="166" fontId="0" fillId="0" borderId="18" xfId="0" applyNumberFormat="1" applyBorder="1"/>
    <xf numFmtId="166" fontId="0" fillId="0" borderId="17" xfId="0" applyNumberFormat="1" applyBorder="1"/>
    <xf numFmtId="166" fontId="0" fillId="0" borderId="19" xfId="0" applyNumberFormat="1" applyBorder="1"/>
    <xf numFmtId="0" fontId="1" fillId="0" borderId="31" xfId="0" applyFont="1" applyBorder="1"/>
    <xf numFmtId="166" fontId="0" fillId="0" borderId="22" xfId="0" applyNumberFormat="1" applyBorder="1"/>
    <xf numFmtId="166" fontId="0" fillId="0" borderId="0" xfId="0" applyNumberFormat="1" applyBorder="1"/>
    <xf numFmtId="166" fontId="0" fillId="0" borderId="23" xfId="0" applyNumberFormat="1" applyBorder="1"/>
    <xf numFmtId="0" fontId="1" fillId="0" borderId="31" xfId="0" applyFont="1" applyBorder="1" applyAlignment="1">
      <alignment horizontal="left" vertical="center"/>
    </xf>
    <xf numFmtId="166" fontId="0" fillId="0" borderId="22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0" fillId="0" borderId="23" xfId="0" applyNumberFormat="1" applyBorder="1" applyAlignment="1">
      <alignment horizontal="right"/>
    </xf>
    <xf numFmtId="0" fontId="1" fillId="0" borderId="32" xfId="0" applyFont="1" applyFill="1" applyBorder="1"/>
    <xf numFmtId="166" fontId="0" fillId="0" borderId="20" xfId="0" applyNumberFormat="1" applyBorder="1"/>
    <xf numFmtId="166" fontId="0" fillId="0" borderId="24" xfId="0" applyNumberFormat="1" applyBorder="1"/>
    <xf numFmtId="166" fontId="0" fillId="0" borderId="21" xfId="0" applyNumberFormat="1" applyBorder="1"/>
    <xf numFmtId="167" fontId="0" fillId="0" borderId="0" xfId="0" applyNumberFormat="1"/>
    <xf numFmtId="9" fontId="0" fillId="0" borderId="0" xfId="0" applyNumberFormat="1"/>
    <xf numFmtId="9" fontId="0" fillId="0" borderId="0" xfId="0" applyNumberFormat="1" applyBorder="1"/>
    <xf numFmtId="9" fontId="0" fillId="0" borderId="0" xfId="1" applyFont="1"/>
    <xf numFmtId="43" fontId="0" fillId="0" borderId="0" xfId="2" applyFont="1"/>
    <xf numFmtId="43" fontId="0" fillId="0" borderId="0" xfId="2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65" fontId="0" fillId="0" borderId="18" xfId="0" applyNumberFormat="1" applyFont="1" applyFill="1" applyBorder="1" applyAlignment="1">
      <alignment horizontal="center" vertical="top" wrapText="1"/>
    </xf>
    <xf numFmtId="165" fontId="0" fillId="0" borderId="19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Pumps!$D$2</c:f>
              <c:strCache>
                <c:ptCount val="1"/>
                <c:pt idx="0">
                  <c:v>SAND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Pumps!$B$6:$B$24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35</c:v>
                </c:pt>
                <c:pt idx="18">
                  <c:v>46</c:v>
                </c:pt>
              </c:numCache>
            </c:numRef>
          </c:xVal>
          <c:yVal>
            <c:numRef>
              <c:f>Pumps!$J$6:$J$24</c:f>
              <c:numCache>
                <c:formatCode>0.00</c:formatCode>
                <c:ptCount val="19"/>
                <c:pt idx="0">
                  <c:v>0.60599999999999998</c:v>
                </c:pt>
                <c:pt idx="1">
                  <c:v>0.59189189189189184</c:v>
                </c:pt>
                <c:pt idx="3">
                  <c:v>0.43470790378006874</c:v>
                </c:pt>
                <c:pt idx="5">
                  <c:v>0.43218390804597701</c:v>
                </c:pt>
                <c:pt idx="6">
                  <c:v>0.4284722222222222</c:v>
                </c:pt>
                <c:pt idx="7">
                  <c:v>0.41007751937984493</c:v>
                </c:pt>
                <c:pt idx="8">
                  <c:v>0.41401717335808774</c:v>
                </c:pt>
                <c:pt idx="9">
                  <c:v>0.40600000000000003</c:v>
                </c:pt>
                <c:pt idx="10">
                  <c:v>0.4284697508896797</c:v>
                </c:pt>
                <c:pt idx="11">
                  <c:v>0.42836879432624114</c:v>
                </c:pt>
                <c:pt idx="12">
                  <c:v>0.41925925925925928</c:v>
                </c:pt>
                <c:pt idx="13">
                  <c:v>0.42460317460317459</c:v>
                </c:pt>
                <c:pt idx="14">
                  <c:v>0.43188405797101448</c:v>
                </c:pt>
                <c:pt idx="15">
                  <c:v>0.42708333333333331</c:v>
                </c:pt>
                <c:pt idx="16">
                  <c:v>0.42988505747126438</c:v>
                </c:pt>
                <c:pt idx="17">
                  <c:v>0.4152777777777778</c:v>
                </c:pt>
                <c:pt idx="18">
                  <c:v>0.43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Pumps!$N$2</c:f>
              <c:strCache>
                <c:ptCount val="1"/>
                <c:pt idx="0">
                  <c:v>SAND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Pumps!$L$6:$L$24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35</c:v>
                </c:pt>
                <c:pt idx="18">
                  <c:v>46</c:v>
                </c:pt>
              </c:numCache>
            </c:numRef>
          </c:xVal>
          <c:yVal>
            <c:numRef>
              <c:f>Pumps!$T$6:$T$24</c:f>
              <c:numCache>
                <c:formatCode>0.00</c:formatCode>
                <c:ptCount val="19"/>
                <c:pt idx="0">
                  <c:v>0.58299999999999996</c:v>
                </c:pt>
                <c:pt idx="1">
                  <c:v>0.56036036036036041</c:v>
                </c:pt>
                <c:pt idx="3">
                  <c:v>0.38694158075601376</c:v>
                </c:pt>
                <c:pt idx="5">
                  <c:v>0.43678160919540232</c:v>
                </c:pt>
                <c:pt idx="6">
                  <c:v>0.43541666666666667</c:v>
                </c:pt>
                <c:pt idx="7">
                  <c:v>0.44263565891472867</c:v>
                </c:pt>
                <c:pt idx="8">
                  <c:v>0.38175910884195868</c:v>
                </c:pt>
                <c:pt idx="9">
                  <c:v>0.434</c:v>
                </c:pt>
                <c:pt idx="10">
                  <c:v>0.39430604982206408</c:v>
                </c:pt>
                <c:pt idx="11">
                  <c:v>0.43546099290780144</c:v>
                </c:pt>
                <c:pt idx="12">
                  <c:v>0.42814814814814817</c:v>
                </c:pt>
                <c:pt idx="13">
                  <c:v>0.46190476190476193</c:v>
                </c:pt>
                <c:pt idx="14">
                  <c:v>0.43913043478260871</c:v>
                </c:pt>
                <c:pt idx="15">
                  <c:v>0.43125000000000002</c:v>
                </c:pt>
                <c:pt idx="16">
                  <c:v>0.43218390804597701</c:v>
                </c:pt>
                <c:pt idx="17">
                  <c:v>0.43402777777777779</c:v>
                </c:pt>
                <c:pt idx="18">
                  <c:v>0.43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047976"/>
        <c:axId val="303047584"/>
      </c:scatterChart>
      <c:valAx>
        <c:axId val="303047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47584"/>
        <c:crosses val="autoZero"/>
        <c:crossBetween val="midCat"/>
      </c:valAx>
      <c:valAx>
        <c:axId val="30304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</a:t>
                </a:r>
                <a:r>
                  <a:rPr lang="en-GB" baseline="0"/>
                  <a:t> rate (ml/min)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47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Pertcentage GAC</a:t>
            </a:r>
            <a:endParaRPr lang="en-GB"/>
          </a:p>
        </c:rich>
      </c:tx>
      <c:layout>
        <c:manualLayout>
          <c:xMode val="edge"/>
          <c:yMode val="edge"/>
          <c:x val="0.2368611111111111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9225721784778"/>
          <c:y val="0.25245370370370368"/>
          <c:w val="0.81029308836395442"/>
          <c:h val="0.61706802274715655"/>
        </c:manualLayout>
      </c:layout>
      <c:scatterChart>
        <c:scatterStyle val="lineMarker"/>
        <c:varyColors val="0"/>
        <c:ser>
          <c:idx val="2"/>
          <c:order val="2"/>
          <c:tx>
            <c:strRef>
              <c:f>'TOC1'!$V$39</c:f>
              <c:strCache>
                <c:ptCount val="1"/>
                <c:pt idx="0">
                  <c:v>DOC GAC1</c:v>
                </c:pt>
              </c:strCache>
              <c:extLst xmlns:c15="http://schemas.microsoft.com/office/drawing/2012/chart"/>
            </c:strRef>
          </c:tx>
          <c:spPr>
            <a:ln w="1587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'TOC1'!$AF$33:$AL$33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'TOC1'!$AN$39:$AT$39</c:f>
              <c:numCache>
                <c:formatCode>0%</c:formatCode>
                <c:ptCount val="7"/>
                <c:pt idx="0">
                  <c:v>0.39191343963553549</c:v>
                </c:pt>
                <c:pt idx="1">
                  <c:v>0.25784563189143322</c:v>
                </c:pt>
                <c:pt idx="2">
                  <c:v>0.14959155888359424</c:v>
                </c:pt>
                <c:pt idx="3">
                  <c:v>0</c:v>
                </c:pt>
                <c:pt idx="4">
                  <c:v>0.15344251868341557</c:v>
                </c:pt>
                <c:pt idx="5">
                  <c:v>0.15246504782928622</c:v>
                </c:pt>
                <c:pt idx="6">
                  <c:v>0.10041265474552967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'TOC1'!$V$40</c:f>
              <c:strCache>
                <c:ptCount val="1"/>
                <c:pt idx="0">
                  <c:v>DOC GAC2</c:v>
                </c:pt>
              </c:strCache>
              <c:extLst xmlns:c15="http://schemas.microsoft.com/office/drawing/2012/chart"/>
            </c:strRef>
          </c:tx>
          <c:spPr>
            <a:ln w="15875" cap="rnd">
              <a:solidFill>
                <a:schemeClr val="accent6"/>
              </a:solidFill>
              <a:prstDash val="sysDash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'TOC1'!$AF$33:$AL$33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'TOC1'!$AN$40:$AT$40</c:f>
              <c:numCache>
                <c:formatCode>0%</c:formatCode>
                <c:ptCount val="7"/>
                <c:pt idx="0">
                  <c:v>0.41415554832411328</c:v>
                </c:pt>
                <c:pt idx="1">
                  <c:v>0.25631891433418164</c:v>
                </c:pt>
                <c:pt idx="2">
                  <c:v>0.16780122532334929</c:v>
                </c:pt>
                <c:pt idx="3">
                  <c:v>0.12674579341246026</c:v>
                </c:pt>
                <c:pt idx="4">
                  <c:v>0.15582763555414222</c:v>
                </c:pt>
                <c:pt idx="5">
                  <c:v>0.19514348785871971</c:v>
                </c:pt>
                <c:pt idx="6">
                  <c:v>0.13021549747822092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549072"/>
        <c:axId val="2765494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'TOC1'!$V$37</c15:sqref>
                        </c15:formulaRef>
                      </c:ext>
                    </c:extLst>
                    <c:strCache>
                      <c:ptCount val="1"/>
                      <c:pt idx="0">
                        <c:v>DOC SAND 1</c:v>
                      </c:pt>
                    </c:strCache>
                  </c:strRef>
                </c:tx>
                <c:spPr>
                  <a:ln w="9525" cap="rnd">
                    <a:solidFill>
                      <a:schemeClr val="accent1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1">
                            <a:shade val="51000"/>
                            <a:satMod val="130000"/>
                          </a:schemeClr>
                        </a:gs>
                        <a:gs pos="80000">
                          <a:schemeClr val="accent1">
                            <a:shade val="93000"/>
                            <a:satMod val="130000"/>
                          </a:schemeClr>
                        </a:gs>
                        <a:gs pos="100000">
                          <a:schemeClr val="accent1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1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'TOC1'!$AN$37:$AT$37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</c:v>
                      </c:pt>
                      <c:pt idx="1">
                        <c:v>5.122985581000853E-2</c:v>
                      </c:pt>
                      <c:pt idx="2">
                        <c:v>1.6337644656229101E-2</c:v>
                      </c:pt>
                      <c:pt idx="3">
                        <c:v>4.6506824284602163E-2</c:v>
                      </c:pt>
                      <c:pt idx="4">
                        <c:v>5.4698680235331719E-2</c:v>
                      </c:pt>
                      <c:pt idx="5">
                        <c:v>0.13083149374540104</c:v>
                      </c:pt>
                      <c:pt idx="6">
                        <c:v>7.9932752559988038E-2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'TOC1'!$V$38</c15:sqref>
                        </c15:formulaRef>
                      </c:ext>
                    </c:extLst>
                    <c:strCache>
                      <c:ptCount val="1"/>
                      <c:pt idx="0">
                        <c:v>DOC SAND 2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2">
                            <a:shade val="51000"/>
                            <a:satMod val="130000"/>
                          </a:schemeClr>
                        </a:gs>
                        <a:gs pos="80000">
                          <a:schemeClr val="accent2">
                            <a:shade val="93000"/>
                            <a:satMod val="130000"/>
                          </a:schemeClr>
                        </a:gs>
                        <a:gs pos="100000">
                          <a:schemeClr val="accent2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2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'TOC1'!$AN$38:$AT$38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</c:v>
                      </c:pt>
                      <c:pt idx="1">
                        <c:v>5.7845631891433359E-2</c:v>
                      </c:pt>
                      <c:pt idx="2">
                        <c:v>3.1654186521443382E-2</c:v>
                      </c:pt>
                      <c:pt idx="3">
                        <c:v>4.5076822854600684E-2</c:v>
                      </c:pt>
                      <c:pt idx="4">
                        <c:v>9.0634441087613343E-2</c:v>
                      </c:pt>
                      <c:pt idx="5">
                        <c:v>0.12155997056659305</c:v>
                      </c:pt>
                      <c:pt idx="6">
                        <c:v>8.4976310560904808E-2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'TOC1'!$V$41</c15:sqref>
                        </c15:formulaRef>
                      </c:ext>
                    </c:extLst>
                    <c:strCache>
                      <c:ptCount val="1"/>
                      <c:pt idx="0">
                        <c:v>DOC SAND STR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5">
                            <a:shade val="51000"/>
                            <a:satMod val="130000"/>
                          </a:schemeClr>
                        </a:gs>
                        <a:gs pos="80000">
                          <a:schemeClr val="accent5">
                            <a:shade val="93000"/>
                            <a:satMod val="130000"/>
                          </a:schemeClr>
                        </a:gs>
                        <a:gs pos="100000">
                          <a:schemeClr val="accent5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5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'TOC1'!$AN$41:$AT$41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6.3754020625455876E-2</c:v>
                      </c:pt>
                      <c:pt idx="1">
                        <c:v>6.7012442038717215E-2</c:v>
                      </c:pt>
                      <c:pt idx="2">
                        <c:v>0</c:v>
                      </c:pt>
                      <c:pt idx="3">
                        <c:v>4.9300188009191399E-2</c:v>
                      </c:pt>
                      <c:pt idx="4">
                        <c:v>6.8777292576419236E-2</c:v>
                      </c:pt>
                      <c:pt idx="5">
                        <c:v>3.0104119511090949E-2</c:v>
                      </c:pt>
                      <c:pt idx="6">
                        <c:v>0.10955269143290373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'TOC1'!$V$42</c15:sqref>
                        </c15:formulaRef>
                      </c:ext>
                    </c:extLst>
                    <c:strCache>
                      <c:ptCount val="1"/>
                      <c:pt idx="0">
                        <c:v>DOC GAC STR </c:v>
                      </c:pt>
                    </c:strCache>
                  </c:strRef>
                </c:tx>
                <c:spPr>
                  <a:ln w="15875" cap="rnd">
                    <a:solidFill>
                      <a:schemeClr val="accent3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'TOC1'!$AF$33:$AL$33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'TOC1'!$AN$42:$AT$42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0.41045592645137996</c:v>
                      </c:pt>
                      <c:pt idx="1">
                        <c:v>0.28687996884316863</c:v>
                      </c:pt>
                      <c:pt idx="2">
                        <c:v>0.19270791150024377</c:v>
                      </c:pt>
                      <c:pt idx="3">
                        <c:v>0.13766450804261521</c:v>
                      </c:pt>
                      <c:pt idx="4">
                        <c:v>0.29457787481804948</c:v>
                      </c:pt>
                      <c:pt idx="5">
                        <c:v>0.24671797193300146</c:v>
                      </c:pt>
                      <c:pt idx="6">
                        <c:v>0.14158453373768018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76549072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/>
                  <a:t>Time</a:t>
                </a:r>
                <a:r>
                  <a:rPr lang="en-GB" sz="1000" baseline="0"/>
                  <a:t> (d)</a:t>
                </a:r>
                <a:endParaRPr lang="en-GB" sz="1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9464"/>
        <c:crosses val="autoZero"/>
        <c:crossBetween val="midCat"/>
      </c:valAx>
      <c:valAx>
        <c:axId val="276549464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Depletion</a:t>
                </a:r>
                <a:r>
                  <a:rPr lang="en-GB" sz="1050" baseline="0"/>
                  <a:t> (%)</a:t>
                </a:r>
                <a:endParaRPr lang="en-GB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126312335958005"/>
          <c:y val="0.13403834937299505"/>
          <c:w val="0.80373687664041993"/>
          <c:h val="9.0858121901428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Percentage GAC</a:t>
            </a:r>
            <a:endParaRPr lang="en-GB"/>
          </a:p>
        </c:rich>
      </c:tx>
      <c:layout>
        <c:manualLayout>
          <c:xMode val="edge"/>
          <c:yMode val="edge"/>
          <c:x val="0.2661388888888888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5255905511811"/>
          <c:y val="0.21541666666666667"/>
          <c:w val="0.82418197725284337"/>
          <c:h val="0.644845800524934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'TOC1'!$V$37</c:f>
              <c:strCache>
                <c:ptCount val="1"/>
                <c:pt idx="0">
                  <c:v>DOC SAND 1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'TOC1'!$AN$37:$AT$37</c:f>
              <c:numCache>
                <c:formatCode>0%</c:formatCode>
                <c:ptCount val="7"/>
                <c:pt idx="0">
                  <c:v>0</c:v>
                </c:pt>
                <c:pt idx="1">
                  <c:v>5.122985581000853E-2</c:v>
                </c:pt>
                <c:pt idx="2">
                  <c:v>1.6337644656229101E-2</c:v>
                </c:pt>
                <c:pt idx="3">
                  <c:v>4.6506824284602163E-2</c:v>
                </c:pt>
                <c:pt idx="4">
                  <c:v>5.4698680235331719E-2</c:v>
                </c:pt>
                <c:pt idx="5">
                  <c:v>0.13083149374540104</c:v>
                </c:pt>
                <c:pt idx="6">
                  <c:v>7.9932752559988038E-2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'TOC1'!$V$38</c:f>
              <c:strCache>
                <c:ptCount val="1"/>
                <c:pt idx="0">
                  <c:v>DOC SAND 2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'TOC1'!$AF$33:$AL$33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'TOC1'!$AN$38:$AT$38</c:f>
              <c:numCache>
                <c:formatCode>0%</c:formatCode>
                <c:ptCount val="7"/>
                <c:pt idx="0">
                  <c:v>0</c:v>
                </c:pt>
                <c:pt idx="1">
                  <c:v>5.7845631891433359E-2</c:v>
                </c:pt>
                <c:pt idx="2">
                  <c:v>3.1654186521443382E-2</c:v>
                </c:pt>
                <c:pt idx="3">
                  <c:v>4.5076822854600684E-2</c:v>
                </c:pt>
                <c:pt idx="4">
                  <c:v>9.0634441087613343E-2</c:v>
                </c:pt>
                <c:pt idx="5">
                  <c:v>0.12155997056659305</c:v>
                </c:pt>
                <c:pt idx="6">
                  <c:v>8.4976310560904808E-2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'TOC1'!$V$41</c:f>
              <c:strCache>
                <c:ptCount val="1"/>
                <c:pt idx="0">
                  <c:v>DOC SAND STR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5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'TOC1'!$AF$33:$AL$33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'TOC1'!$AN$41:$AT$41</c:f>
              <c:numCache>
                <c:formatCode>0%</c:formatCode>
                <c:ptCount val="7"/>
                <c:pt idx="0">
                  <c:v>6.3754020625455876E-2</c:v>
                </c:pt>
                <c:pt idx="1">
                  <c:v>6.7012442038717215E-2</c:v>
                </c:pt>
                <c:pt idx="2">
                  <c:v>0</c:v>
                </c:pt>
                <c:pt idx="3">
                  <c:v>4.9300188009191399E-2</c:v>
                </c:pt>
                <c:pt idx="4">
                  <c:v>6.8777292576419236E-2</c:v>
                </c:pt>
                <c:pt idx="5">
                  <c:v>3.0104119511090949E-2</c:v>
                </c:pt>
                <c:pt idx="6">
                  <c:v>0.10955269143290373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550248"/>
        <c:axId val="31610069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'TOC1'!$V$39</c15:sqref>
                        </c15:formulaRef>
                      </c:ext>
                    </c:extLst>
                    <c:strCache>
                      <c:ptCount val="1"/>
                      <c:pt idx="0">
                        <c:v>DOC GAC1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3">
                            <a:shade val="51000"/>
                            <a:satMod val="130000"/>
                          </a:schemeClr>
                        </a:gs>
                        <a:gs pos="80000">
                          <a:schemeClr val="accent3">
                            <a:shade val="93000"/>
                            <a:satMod val="130000"/>
                          </a:schemeClr>
                        </a:gs>
                        <a:gs pos="100000">
                          <a:schemeClr val="accent3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3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'TOC1'!$AN$39:$AT$39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0.39191343963553549</c:v>
                      </c:pt>
                      <c:pt idx="1">
                        <c:v>0.25784563189143322</c:v>
                      </c:pt>
                      <c:pt idx="2">
                        <c:v>0.14959155888359424</c:v>
                      </c:pt>
                      <c:pt idx="3">
                        <c:v>0</c:v>
                      </c:pt>
                      <c:pt idx="4">
                        <c:v>0.15344251868341557</c:v>
                      </c:pt>
                      <c:pt idx="5">
                        <c:v>0.15246504782928622</c:v>
                      </c:pt>
                      <c:pt idx="6">
                        <c:v>0.10041265474552967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'TOC1'!$V$40</c15:sqref>
                        </c15:formulaRef>
                      </c:ext>
                    </c:extLst>
                    <c:strCache>
                      <c:ptCount val="1"/>
                      <c:pt idx="0">
                        <c:v>DOC GAC2</c:v>
                      </c:pt>
                    </c:strCache>
                  </c:strRef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4">
                            <a:shade val="51000"/>
                            <a:satMod val="130000"/>
                          </a:schemeClr>
                        </a:gs>
                        <a:gs pos="80000">
                          <a:schemeClr val="accent4">
                            <a:shade val="93000"/>
                            <a:satMod val="130000"/>
                          </a:schemeClr>
                        </a:gs>
                        <a:gs pos="100000">
                          <a:schemeClr val="accent4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4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'TOC1'!$AN$40:$AT$40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0.41415554832411328</c:v>
                      </c:pt>
                      <c:pt idx="1">
                        <c:v>0.25631891433418164</c:v>
                      </c:pt>
                      <c:pt idx="2">
                        <c:v>0.16780122532334929</c:v>
                      </c:pt>
                      <c:pt idx="3">
                        <c:v>0.12674579341246026</c:v>
                      </c:pt>
                      <c:pt idx="4">
                        <c:v>0.15582763555414222</c:v>
                      </c:pt>
                      <c:pt idx="5">
                        <c:v>0.19514348785871971</c:v>
                      </c:pt>
                      <c:pt idx="6">
                        <c:v>0.13021549747822092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'TOC1'!$V$42</c15:sqref>
                        </c15:formulaRef>
                      </c:ext>
                    </c:extLst>
                    <c:strCache>
                      <c:ptCount val="1"/>
                      <c:pt idx="0">
                        <c:v>DOC GAC STR 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6">
                            <a:shade val="51000"/>
                            <a:satMod val="130000"/>
                          </a:schemeClr>
                        </a:gs>
                        <a:gs pos="80000">
                          <a:schemeClr val="accent6">
                            <a:shade val="93000"/>
                            <a:satMod val="130000"/>
                          </a:schemeClr>
                        </a:gs>
                        <a:gs pos="100000">
                          <a:schemeClr val="accent6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6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'TOC1'!$AN$42:$AT$42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0.41045592645137996</c:v>
                      </c:pt>
                      <c:pt idx="1">
                        <c:v>0.28687996884316863</c:v>
                      </c:pt>
                      <c:pt idx="2">
                        <c:v>0.19270791150024377</c:v>
                      </c:pt>
                      <c:pt idx="3">
                        <c:v>0.13766450804261521</c:v>
                      </c:pt>
                      <c:pt idx="4">
                        <c:v>0.29457787481804948</c:v>
                      </c:pt>
                      <c:pt idx="5">
                        <c:v>0.24671797193300146</c:v>
                      </c:pt>
                      <c:pt idx="6">
                        <c:v>0.14158453373768018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76550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00696"/>
        <c:crosses val="autoZero"/>
        <c:crossBetween val="midCat"/>
      </c:valAx>
      <c:valAx>
        <c:axId val="31610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Depletion(%)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50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737423447069117"/>
          <c:y val="0.12014946048410616"/>
          <c:w val="0.67318132108486439"/>
          <c:h val="9.54877515310586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3670166229222"/>
          <c:y val="0.12483850976961211"/>
          <c:w val="0.80230774278215233"/>
          <c:h val="0.664960994459026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'TOC1'!$AM$45</c:f>
              <c:strCache>
                <c:ptCount val="1"/>
                <c:pt idx="0">
                  <c:v>SAND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'TOC1'!$AN$48:$AT$48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2.3390300649936305E-3</c:v>
                  </c:pt>
                  <c:pt idx="2">
                    <c:v>5.4152153086103293E-3</c:v>
                  </c:pt>
                  <c:pt idx="3">
                    <c:v>5.0558185413025292E-4</c:v>
                  </c:pt>
                  <c:pt idx="4">
                    <c:v>1.2705210092873188E-2</c:v>
                  </c:pt>
                  <c:pt idx="5">
                    <c:v>3.2779784558316909E-3</c:v>
                  </c:pt>
                  <c:pt idx="6">
                    <c:v>1.7831670318779577E-3</c:v>
                  </c:pt>
                </c:numCache>
              </c:numRef>
            </c:plus>
            <c:minus>
              <c:numRef>
                <c:f>'TOC1'!$AN$48:$AT$48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2.3390300649936305E-3</c:v>
                  </c:pt>
                  <c:pt idx="2">
                    <c:v>5.4152153086103293E-3</c:v>
                  </c:pt>
                  <c:pt idx="3">
                    <c:v>5.0558185413025292E-4</c:v>
                  </c:pt>
                  <c:pt idx="4">
                    <c:v>1.2705210092873188E-2</c:v>
                  </c:pt>
                  <c:pt idx="5">
                    <c:v>3.2779784558316909E-3</c:v>
                  </c:pt>
                  <c:pt idx="6">
                    <c:v>1.7831670318779577E-3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'TOC1'!$AN$33:$AT$33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'TOC1'!$AN$45:$AT$45</c:f>
              <c:numCache>
                <c:formatCode>0%</c:formatCode>
                <c:ptCount val="7"/>
                <c:pt idx="0">
                  <c:v>0</c:v>
                </c:pt>
                <c:pt idx="1">
                  <c:v>5.4537743850720945E-2</c:v>
                </c:pt>
                <c:pt idx="2">
                  <c:v>2.3995915588836243E-2</c:v>
                </c:pt>
                <c:pt idx="3">
                  <c:v>4.5791823569601424E-2</c:v>
                </c:pt>
                <c:pt idx="4">
                  <c:v>7.2666560661472535E-2</c:v>
                </c:pt>
                <c:pt idx="5">
                  <c:v>0.12619573215599705</c:v>
                </c:pt>
                <c:pt idx="6">
                  <c:v>8.2454531560446423E-2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'TOC1'!$AM$46</c:f>
              <c:strCache>
                <c:ptCount val="1"/>
                <c:pt idx="0">
                  <c:v>GAC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'TOC1'!$AN$49:$AT$49</c:f>
                <c:numCache>
                  <c:formatCode>General</c:formatCode>
                  <c:ptCount val="7"/>
                  <c:pt idx="0">
                    <c:v>7.8637729407907905E-3</c:v>
                  </c:pt>
                  <c:pt idx="1">
                    <c:v>5.3977616884457976E-4</c:v>
                  </c:pt>
                  <c:pt idx="2">
                    <c:v>6.4380893113479458E-3</c:v>
                  </c:pt>
                  <c:pt idx="3">
                    <c:v>4.4811405004409943E-2</c:v>
                  </c:pt>
                  <c:pt idx="4">
                    <c:v>8.4326615660662606E-4</c:v>
                  </c:pt>
                  <c:pt idx="5">
                    <c:v>1.5089107177637878E-2</c:v>
                  </c:pt>
                  <c:pt idx="6">
                    <c:v>1.0536896097461064E-2</c:v>
                  </c:pt>
                </c:numCache>
              </c:numRef>
            </c:plus>
            <c:minus>
              <c:numRef>
                <c:f>'TOC1'!$AN$49:$AT$49</c:f>
                <c:numCache>
                  <c:formatCode>General</c:formatCode>
                  <c:ptCount val="7"/>
                  <c:pt idx="0">
                    <c:v>7.8637729407907905E-3</c:v>
                  </c:pt>
                  <c:pt idx="1">
                    <c:v>5.3977616884457976E-4</c:v>
                  </c:pt>
                  <c:pt idx="2">
                    <c:v>6.4380893113479458E-3</c:v>
                  </c:pt>
                  <c:pt idx="3">
                    <c:v>4.4811405004409943E-2</c:v>
                  </c:pt>
                  <c:pt idx="4">
                    <c:v>8.4326615660662606E-4</c:v>
                  </c:pt>
                  <c:pt idx="5">
                    <c:v>1.5089107177637878E-2</c:v>
                  </c:pt>
                  <c:pt idx="6">
                    <c:v>1.0536896097461064E-2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'TOC1'!$AN$33:$AT$33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'TOC1'!$AN$46:$AT$46</c:f>
              <c:numCache>
                <c:formatCode>0%</c:formatCode>
                <c:ptCount val="7"/>
                <c:pt idx="0">
                  <c:v>0.40303449397982438</c:v>
                </c:pt>
                <c:pt idx="1">
                  <c:v>0.2570822731128074</c:v>
                </c:pt>
                <c:pt idx="2">
                  <c:v>0.15869639210347175</c:v>
                </c:pt>
                <c:pt idx="3">
                  <c:v>0.12674579341246026</c:v>
                </c:pt>
                <c:pt idx="4">
                  <c:v>0.15463507711877889</c:v>
                </c:pt>
                <c:pt idx="5">
                  <c:v>0.17380426784400296</c:v>
                </c:pt>
                <c:pt idx="6">
                  <c:v>0.1153140761118753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101480"/>
        <c:axId val="316101872"/>
      </c:scatterChart>
      <c:valAx>
        <c:axId val="31610148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>
                    <a:solidFill>
                      <a:schemeClr val="tx2"/>
                    </a:solidFill>
                  </a:rPr>
                  <a:t>Time (d)</a:t>
                </a:r>
              </a:p>
            </c:rich>
          </c:tx>
          <c:layout>
            <c:manualLayout>
              <c:xMode val="edge"/>
              <c:yMode val="edge"/>
              <c:x val="0.50197610717076568"/>
              <c:y val="0.881347255560479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01872"/>
        <c:crosses val="autoZero"/>
        <c:crossBetween val="midCat"/>
      </c:valAx>
      <c:valAx>
        <c:axId val="31610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>
                    <a:solidFill>
                      <a:schemeClr val="tx2"/>
                    </a:solidFill>
                  </a:rPr>
                  <a:t>DOC Removal (%)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273233449985418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0148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936657917760279"/>
          <c:y val="2.8194444444444446E-2"/>
          <c:w val="0.32168394575678039"/>
          <c:h val="9.49238116068824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IC!$AO$17</c:f>
              <c:strCache>
                <c:ptCount val="1"/>
                <c:pt idx="0">
                  <c:v>IN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IC!$AN$19:$AN$23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xVal>
          <c:yVal>
            <c:numRef>
              <c:f>IC!$AO$19:$AO$23</c:f>
              <c:numCache>
                <c:formatCode>0.00</c:formatCode>
                <c:ptCount val="5"/>
                <c:pt idx="0">
                  <c:v>2.3054999999999999</c:v>
                </c:pt>
                <c:pt idx="1">
                  <c:v>0.188</c:v>
                </c:pt>
                <c:pt idx="2">
                  <c:v>0</c:v>
                </c:pt>
                <c:pt idx="3">
                  <c:v>9.5000000000000001E-2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IC!$AN$19:$AN$23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xVal>
          <c:yVal>
            <c:numRef>
              <c:f>IC!$AQ$19:$AQ$23</c:f>
              <c:numCache>
                <c:formatCode>0.00</c:formatCode>
                <c:ptCount val="5"/>
                <c:pt idx="0">
                  <c:v>0.74649999999999994</c:v>
                </c:pt>
                <c:pt idx="1">
                  <c:v>0.2195</c:v>
                </c:pt>
                <c:pt idx="2">
                  <c:v>0.1075</c:v>
                </c:pt>
                <c:pt idx="3">
                  <c:v>0.216</c:v>
                </c:pt>
                <c:pt idx="4">
                  <c:v>1.0815000000000001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IC!$AN$19:$AN$23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xVal>
          <c:yVal>
            <c:numRef>
              <c:f>IC!$AS$19:$AS$23</c:f>
              <c:numCache>
                <c:formatCode>0.00</c:formatCode>
                <c:ptCount val="5"/>
                <c:pt idx="0">
                  <c:v>0.84850000000000003</c:v>
                </c:pt>
                <c:pt idx="1">
                  <c:v>0.33850000000000002</c:v>
                </c:pt>
                <c:pt idx="2">
                  <c:v>0.23049999999999998</c:v>
                </c:pt>
                <c:pt idx="3">
                  <c:v>0.2225</c:v>
                </c:pt>
                <c:pt idx="4">
                  <c:v>0.47550000000000003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102656"/>
        <c:axId val="316103048"/>
      </c:scatterChart>
      <c:valAx>
        <c:axId val="31610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03048"/>
        <c:crosses val="autoZero"/>
        <c:crossBetween val="midCat"/>
      </c:valAx>
      <c:valAx>
        <c:axId val="31610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02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Pumps!$D$29</c:f>
              <c:strCache>
                <c:ptCount val="1"/>
                <c:pt idx="0">
                  <c:v>GAC1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Pumps!$B$33:$B$51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35</c:v>
                </c:pt>
                <c:pt idx="18">
                  <c:v>46</c:v>
                </c:pt>
              </c:numCache>
            </c:numRef>
          </c:xVal>
          <c:yVal>
            <c:numRef>
              <c:f>Pumps!$J$33:$J$51</c:f>
              <c:numCache>
                <c:formatCode>0.00</c:formatCode>
                <c:ptCount val="19"/>
                <c:pt idx="0">
                  <c:v>0.42499999999999999</c:v>
                </c:pt>
                <c:pt idx="1">
                  <c:v>0.54684684684684681</c:v>
                </c:pt>
                <c:pt idx="3">
                  <c:v>0.44123711340206184</c:v>
                </c:pt>
                <c:pt idx="4" formatCode="General">
                  <c:v>0.4670846394984326</c:v>
                </c:pt>
                <c:pt idx="5">
                  <c:v>0.46551724137931033</c:v>
                </c:pt>
                <c:pt idx="6">
                  <c:v>0.46180555555555558</c:v>
                </c:pt>
                <c:pt idx="7">
                  <c:v>0.44341085271317832</c:v>
                </c:pt>
                <c:pt idx="8">
                  <c:v>0.38686470178695753</c:v>
                </c:pt>
                <c:pt idx="9">
                  <c:v>0.42733333333333334</c:v>
                </c:pt>
                <c:pt idx="10">
                  <c:v>0.4377224199288256</c:v>
                </c:pt>
                <c:pt idx="11">
                  <c:v>0.43475177304964541</c:v>
                </c:pt>
                <c:pt idx="12">
                  <c:v>0.43259259259259258</c:v>
                </c:pt>
                <c:pt idx="13">
                  <c:v>0.40952380952380951</c:v>
                </c:pt>
                <c:pt idx="14">
                  <c:v>0.41086956521739132</c:v>
                </c:pt>
                <c:pt idx="15">
                  <c:v>0.45624999999999999</c:v>
                </c:pt>
                <c:pt idx="16">
                  <c:v>0.44980842911877394</c:v>
                </c:pt>
                <c:pt idx="17">
                  <c:v>0.42152777777777778</c:v>
                </c:pt>
                <c:pt idx="18">
                  <c:v>0.43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Pumps!$N$29</c:f>
              <c:strCache>
                <c:ptCount val="1"/>
                <c:pt idx="0">
                  <c:v>GAC2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Pumps!$L$33:$L$51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35</c:v>
                </c:pt>
                <c:pt idx="18">
                  <c:v>46</c:v>
                </c:pt>
              </c:numCache>
            </c:numRef>
          </c:xVal>
          <c:yVal>
            <c:numRef>
              <c:f>Pumps!$T$33:$T$51</c:f>
              <c:numCache>
                <c:formatCode>0.00</c:formatCode>
                <c:ptCount val="19"/>
                <c:pt idx="0">
                  <c:v>0.52</c:v>
                </c:pt>
                <c:pt idx="1">
                  <c:v>0.56576576576576576</c:v>
                </c:pt>
                <c:pt idx="3">
                  <c:v>0.40481099656357389</c:v>
                </c:pt>
                <c:pt idx="4" formatCode="General">
                  <c:v>0.42695924764890281</c:v>
                </c:pt>
                <c:pt idx="5">
                  <c:v>0.42873563218390803</c:v>
                </c:pt>
                <c:pt idx="6">
                  <c:v>0.42291666666666666</c:v>
                </c:pt>
                <c:pt idx="7">
                  <c:v>0.41550387596899224</c:v>
                </c:pt>
                <c:pt idx="8">
                  <c:v>0.4284056625667208</c:v>
                </c:pt>
                <c:pt idx="9">
                  <c:v>0.44933333333333331</c:v>
                </c:pt>
                <c:pt idx="11">
                  <c:v>0.43617021276595747</c:v>
                </c:pt>
                <c:pt idx="12">
                  <c:v>0.45037037037037037</c:v>
                </c:pt>
                <c:pt idx="13">
                  <c:v>0.46640211640211643</c:v>
                </c:pt>
                <c:pt idx="14">
                  <c:v>0.41666666666666669</c:v>
                </c:pt>
                <c:pt idx="15">
                  <c:v>0.41249999999999998</c:v>
                </c:pt>
                <c:pt idx="16">
                  <c:v>0.37471264367816093</c:v>
                </c:pt>
                <c:pt idx="17">
                  <c:v>0.41805555555555557</c:v>
                </c:pt>
                <c:pt idx="18">
                  <c:v>0.43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046408"/>
        <c:axId val="303049936"/>
      </c:scatterChart>
      <c:valAx>
        <c:axId val="303046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Time(d)</a:t>
                </a:r>
                <a:r>
                  <a:rPr lang="en-GB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49936"/>
        <c:crosses val="autoZero"/>
        <c:crossBetween val="midCat"/>
      </c:valAx>
      <c:valAx>
        <c:axId val="303049936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</a:t>
                </a:r>
                <a:r>
                  <a:rPr lang="en-GB" baseline="0"/>
                  <a:t> rate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46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Pumps!$D$54</c:f>
              <c:strCache>
                <c:ptCount val="1"/>
                <c:pt idx="0">
                  <c:v>SAND STR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Pumps!$B$58:$B$74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46</c:v>
                </c:pt>
              </c:numCache>
            </c:numRef>
          </c:xVal>
          <c:yVal>
            <c:numRef>
              <c:f>Pumps!$J$58:$J$74</c:f>
              <c:numCache>
                <c:formatCode>0.00</c:formatCode>
                <c:ptCount val="17"/>
                <c:pt idx="0">
                  <c:v>0.42799999999999999</c:v>
                </c:pt>
                <c:pt idx="1">
                  <c:v>0.30630630630630629</c:v>
                </c:pt>
                <c:pt idx="3">
                  <c:v>0.41477663230240552</c:v>
                </c:pt>
                <c:pt idx="4" formatCode="General">
                  <c:v>0.44012539184952976</c:v>
                </c:pt>
                <c:pt idx="6">
                  <c:v>0.3034722222222222</c:v>
                </c:pt>
                <c:pt idx="7">
                  <c:v>0.43023255813953487</c:v>
                </c:pt>
                <c:pt idx="9">
                  <c:v>0.46690391459074732</c:v>
                </c:pt>
                <c:pt idx="10">
                  <c:v>0.37375886524822693</c:v>
                </c:pt>
                <c:pt idx="11">
                  <c:v>0.44148148148148147</c:v>
                </c:pt>
                <c:pt idx="12">
                  <c:v>0.44894179894179892</c:v>
                </c:pt>
                <c:pt idx="13">
                  <c:v>0.48188405797101447</c:v>
                </c:pt>
                <c:pt idx="14">
                  <c:v>0.45624999999999999</c:v>
                </c:pt>
                <c:pt idx="15">
                  <c:v>0.32567049808429116</c:v>
                </c:pt>
                <c:pt idx="16">
                  <c:v>0.43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Pumps!$N$54</c:f>
              <c:strCache>
                <c:ptCount val="1"/>
                <c:pt idx="0">
                  <c:v>GAC STR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Pumps!$L$58:$L$74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46</c:v>
                </c:pt>
              </c:numCache>
            </c:numRef>
          </c:xVal>
          <c:yVal>
            <c:numRef>
              <c:f>Pumps!$T$58:$T$74</c:f>
              <c:numCache>
                <c:formatCode>0.00</c:formatCode>
                <c:ptCount val="17"/>
                <c:pt idx="0">
                  <c:v>0.58299999999999996</c:v>
                </c:pt>
                <c:pt idx="1">
                  <c:v>0.56396396396396398</c:v>
                </c:pt>
                <c:pt idx="3">
                  <c:v>0.41615120274914091</c:v>
                </c:pt>
                <c:pt idx="4" formatCode="General">
                  <c:v>0.46645768025078371</c:v>
                </c:pt>
                <c:pt idx="6">
                  <c:v>0.34861111111111109</c:v>
                </c:pt>
                <c:pt idx="7">
                  <c:v>0.44108527131782943</c:v>
                </c:pt>
                <c:pt idx="9">
                  <c:v>0.44768683274021354</c:v>
                </c:pt>
                <c:pt idx="10">
                  <c:v>0.4418439716312057</c:v>
                </c:pt>
                <c:pt idx="12">
                  <c:v>0.4642857142857143</c:v>
                </c:pt>
                <c:pt idx="13">
                  <c:v>0.45</c:v>
                </c:pt>
                <c:pt idx="14">
                  <c:v>0.43541666666666667</c:v>
                </c:pt>
                <c:pt idx="16">
                  <c:v>0.43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048760"/>
        <c:axId val="296448520"/>
      </c:scatterChart>
      <c:valAx>
        <c:axId val="30304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448520"/>
        <c:crosses val="autoZero"/>
        <c:crossBetween val="midCat"/>
      </c:valAx>
      <c:valAx>
        <c:axId val="29644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</a:t>
                </a:r>
                <a:r>
                  <a:rPr lang="en-GB" baseline="0"/>
                  <a:t> rate (ml/min)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48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'TOC1'!$V$6</c:f>
              <c:strCache>
                <c:ptCount val="1"/>
                <c:pt idx="0">
                  <c:v>IN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('TOC1'!$AF$6,'TOC1'!$AF$8:$AF$11)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0.13099999999999667</c:v>
                  </c:pt>
                  <c:pt idx="4">
                    <c:v>0.62800000000000011</c:v>
                  </c:pt>
                </c:numCache>
              </c:numRef>
            </c:plus>
            <c:minus>
              <c:numRef>
                <c:f>('TOC1'!$AF$6,'TOC1'!$AF$8:$AF$12)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0.13099999999999667</c:v>
                  </c:pt>
                  <c:pt idx="4">
                    <c:v>0.62800000000000011</c:v>
                  </c:pt>
                  <c:pt idx="5">
                    <c:v>0.45500000000000185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'TOC1'!$W$4:$AA$4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'TOC1'!$W$6:$AA$6</c:f>
              <c:numCache>
                <c:formatCode>0.00</c:formatCode>
                <c:ptCount val="5"/>
                <c:pt idx="0">
                  <c:v>54</c:v>
                </c:pt>
                <c:pt idx="1">
                  <c:v>53.725000000000001</c:v>
                </c:pt>
                <c:pt idx="2">
                  <c:v>53.995000000000005</c:v>
                </c:pt>
                <c:pt idx="3">
                  <c:v>57.335000000000001</c:v>
                </c:pt>
                <c:pt idx="4">
                  <c:v>58.265000000000001</c:v>
                </c:pt>
              </c:numCache>
            </c:numRef>
          </c:val>
        </c:ser>
        <c:ser>
          <c:idx val="1"/>
          <c:order val="1"/>
          <c:tx>
            <c:strRef>
              <c:f>'TOC1'!$V$8</c:f>
              <c:strCache>
                <c:ptCount val="1"/>
                <c:pt idx="0">
                  <c:v>TC SAND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'TOC1'!$AF$8:$AJ$8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0.53000000000000103</c:v>
                  </c:pt>
                  <c:pt idx="2">
                    <c:v>0.14499999999999957</c:v>
                  </c:pt>
                  <c:pt idx="3">
                    <c:v>4.5000000000001705E-2</c:v>
                  </c:pt>
                  <c:pt idx="4">
                    <c:v>4.9999999999990052E-3</c:v>
                  </c:pt>
                </c:numCache>
              </c:numRef>
            </c:plus>
            <c:minus>
              <c:numRef>
                <c:f>'TOC1'!$AF$8:$AJ$8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0.53000000000000103</c:v>
                  </c:pt>
                  <c:pt idx="2">
                    <c:v>0.14499999999999957</c:v>
                  </c:pt>
                  <c:pt idx="3">
                    <c:v>4.5000000000001705E-2</c:v>
                  </c:pt>
                  <c:pt idx="4">
                    <c:v>4.9999999999990052E-3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'TOC1'!$W$4:$AA$4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'TOC1'!$W$8:$AA$8</c:f>
              <c:numCache>
                <c:formatCode>0.00</c:formatCode>
                <c:ptCount val="5"/>
                <c:pt idx="0">
                  <c:v>54</c:v>
                </c:pt>
                <c:pt idx="1">
                  <c:v>52.39</c:v>
                </c:pt>
                <c:pt idx="2">
                  <c:v>53.114999999999995</c:v>
                </c:pt>
                <c:pt idx="3">
                  <c:v>56.274999999999999</c:v>
                </c:pt>
                <c:pt idx="4">
                  <c:v>56.364999999999995</c:v>
                </c:pt>
              </c:numCache>
            </c:numRef>
          </c:val>
        </c:ser>
        <c:ser>
          <c:idx val="2"/>
          <c:order val="2"/>
          <c:tx>
            <c:strRef>
              <c:f>'TOC1'!$V$9</c:f>
              <c:strCache>
                <c:ptCount val="1"/>
                <c:pt idx="0">
                  <c:v>TC SAND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'TOC1'!$AF$9:$AJ$9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7.000000000000027E-2</c:v>
                  </c:pt>
                  <c:pt idx="2">
                    <c:v>0.17999999999999972</c:v>
                  </c:pt>
                  <c:pt idx="3">
                    <c:v>9.9999999999980105E-3</c:v>
                  </c:pt>
                  <c:pt idx="4">
                    <c:v>0.33500000000000085</c:v>
                  </c:pt>
                </c:numCache>
              </c:numRef>
            </c:plus>
            <c:minus>
              <c:numRef>
                <c:f>'TOC1'!$AF$9:$AJ$9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7.000000000000027E-2</c:v>
                  </c:pt>
                  <c:pt idx="2">
                    <c:v>0.17999999999999972</c:v>
                  </c:pt>
                  <c:pt idx="3">
                    <c:v>9.9999999999980105E-3</c:v>
                  </c:pt>
                  <c:pt idx="4">
                    <c:v>0.33500000000000085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'TOC1'!$W$4:$AA$4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'TOC1'!$W$9:$AA$9</c:f>
              <c:numCache>
                <c:formatCode>0.00</c:formatCode>
                <c:ptCount val="5"/>
                <c:pt idx="0">
                  <c:v>54.36</c:v>
                </c:pt>
                <c:pt idx="1">
                  <c:v>52.39</c:v>
                </c:pt>
                <c:pt idx="2">
                  <c:v>52.68</c:v>
                </c:pt>
                <c:pt idx="3">
                  <c:v>56.32</c:v>
                </c:pt>
                <c:pt idx="4">
                  <c:v>55.204999999999998</c:v>
                </c:pt>
              </c:numCache>
            </c:numRef>
          </c:val>
        </c:ser>
        <c:ser>
          <c:idx val="3"/>
          <c:order val="3"/>
          <c:tx>
            <c:strRef>
              <c:f>'TOC1'!$V$10</c:f>
              <c:strCache>
                <c:ptCount val="1"/>
                <c:pt idx="0">
                  <c:v>TC GAC1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'TOC1'!$AF$10:$AJ$10</c:f>
                <c:numCache>
                  <c:formatCode>General</c:formatCode>
                  <c:ptCount val="5"/>
                  <c:pt idx="0">
                    <c:v>0.13099999999999667</c:v>
                  </c:pt>
                  <c:pt idx="1">
                    <c:v>0.43499999999999872</c:v>
                  </c:pt>
                  <c:pt idx="2">
                    <c:v>1.0000000000001563E-2</c:v>
                  </c:pt>
                  <c:pt idx="3">
                    <c:v>0.14999999999999855</c:v>
                  </c:pt>
                  <c:pt idx="4">
                    <c:v>0.33500000000000085</c:v>
                  </c:pt>
                </c:numCache>
              </c:numRef>
            </c:plus>
            <c:minus>
              <c:numRef>
                <c:f>'TOC1'!$AF$10:$AJ$10</c:f>
                <c:numCache>
                  <c:formatCode>General</c:formatCode>
                  <c:ptCount val="5"/>
                  <c:pt idx="0">
                    <c:v>0.13099999999999667</c:v>
                  </c:pt>
                  <c:pt idx="1">
                    <c:v>0.43499999999999872</c:v>
                  </c:pt>
                  <c:pt idx="2">
                    <c:v>1.0000000000001563E-2</c:v>
                  </c:pt>
                  <c:pt idx="3">
                    <c:v>0.14999999999999855</c:v>
                  </c:pt>
                  <c:pt idx="4">
                    <c:v>0.33500000000000085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'TOC1'!$W$4:$AA$4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'TOC1'!$W$10:$AA$10</c:f>
              <c:numCache>
                <c:formatCode>0.00</c:formatCode>
                <c:ptCount val="5"/>
                <c:pt idx="0">
                  <c:v>42.400999999999996</c:v>
                </c:pt>
                <c:pt idx="1">
                  <c:v>46.495000000000005</c:v>
                </c:pt>
                <c:pt idx="2">
                  <c:v>49.59</c:v>
                </c:pt>
                <c:pt idx="3">
                  <c:v>58.49</c:v>
                </c:pt>
                <c:pt idx="4">
                  <c:v>53.674999999999997</c:v>
                </c:pt>
              </c:numCache>
            </c:numRef>
          </c:val>
        </c:ser>
        <c:ser>
          <c:idx val="4"/>
          <c:order val="4"/>
          <c:tx>
            <c:strRef>
              <c:f>'TOC1'!$V$11</c:f>
              <c:strCache>
                <c:ptCount val="1"/>
                <c:pt idx="0">
                  <c:v>TC GAC2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'TOC1'!$AF$11:$AJ$11</c:f>
                <c:numCache>
                  <c:formatCode>General</c:formatCode>
                  <c:ptCount val="5"/>
                  <c:pt idx="0">
                    <c:v>0.62800000000000011</c:v>
                  </c:pt>
                  <c:pt idx="1">
                    <c:v>8.9999999999999858E-2</c:v>
                  </c:pt>
                  <c:pt idx="2">
                    <c:v>0.19500000000000028</c:v>
                  </c:pt>
                  <c:pt idx="3">
                    <c:v>1.4999999999997014E-2</c:v>
                  </c:pt>
                  <c:pt idx="4">
                    <c:v>0.16000000000000014</c:v>
                  </c:pt>
                </c:numCache>
              </c:numRef>
            </c:plus>
            <c:minus>
              <c:numRef>
                <c:f>'TOC1'!$AF$11:$AJ$11</c:f>
                <c:numCache>
                  <c:formatCode>General</c:formatCode>
                  <c:ptCount val="5"/>
                  <c:pt idx="0">
                    <c:v>0.62800000000000011</c:v>
                  </c:pt>
                  <c:pt idx="1">
                    <c:v>8.9999999999999858E-2</c:v>
                  </c:pt>
                  <c:pt idx="2">
                    <c:v>0.19500000000000028</c:v>
                  </c:pt>
                  <c:pt idx="3">
                    <c:v>1.4999999999997014E-2</c:v>
                  </c:pt>
                  <c:pt idx="4">
                    <c:v>0.16000000000000014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'TOC1'!$W$4:$AA$4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'TOC1'!$W$11:$AA$11</c:f>
              <c:numCache>
                <c:formatCode>0.00</c:formatCode>
                <c:ptCount val="5"/>
                <c:pt idx="0">
                  <c:v>36.411999999999999</c:v>
                </c:pt>
                <c:pt idx="1">
                  <c:v>45.97</c:v>
                </c:pt>
                <c:pt idx="2">
                  <c:v>49.125</c:v>
                </c:pt>
                <c:pt idx="3">
                  <c:v>53.894999999999996</c:v>
                </c:pt>
                <c:pt idx="4">
                  <c:v>53.22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444992"/>
        <c:axId val="296446168"/>
      </c:barChart>
      <c:catAx>
        <c:axId val="29644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446168"/>
        <c:crosses val="autoZero"/>
        <c:auto val="1"/>
        <c:lblAlgn val="ctr"/>
        <c:lblOffset val="100"/>
        <c:noMultiLvlLbl val="1"/>
      </c:catAx>
      <c:valAx>
        <c:axId val="29644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TC</a:t>
                </a:r>
                <a:r>
                  <a:rPr lang="en-GB" baseline="0"/>
                  <a:t> (mg/L)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44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'TOC1'!$V$35</c:f>
              <c:strCache>
                <c:ptCount val="1"/>
                <c:pt idx="0">
                  <c:v>DOC IN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'TOC1'!$AF$35:$AI$35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0.49500000000000094</c:v>
                  </c:pt>
                  <c:pt idx="2">
                    <c:v>0.35000000000000142</c:v>
                  </c:pt>
                  <c:pt idx="3">
                    <c:v>0.22850000000000037</c:v>
                  </c:pt>
                </c:numCache>
              </c:numRef>
            </c:plus>
            <c:minus>
              <c:numRef>
                <c:f>'TOC1'!$AF$35:$AI$35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0.49500000000000094</c:v>
                  </c:pt>
                  <c:pt idx="2">
                    <c:v>0.35000000000000142</c:v>
                  </c:pt>
                  <c:pt idx="3">
                    <c:v>0.22850000000000037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'TOC1'!$W$33:$AA$33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'TOC1'!$W$35:$AA$35</c:f>
              <c:numCache>
                <c:formatCode>0.00</c:formatCode>
                <c:ptCount val="5"/>
                <c:pt idx="0">
                  <c:v>30.73</c:v>
                </c:pt>
                <c:pt idx="1">
                  <c:v>29.475000000000001</c:v>
                </c:pt>
                <c:pt idx="2">
                  <c:v>29.380000000000006</c:v>
                </c:pt>
                <c:pt idx="3">
                  <c:v>31.468500000000002</c:v>
                </c:pt>
                <c:pt idx="4">
                  <c:v>31.445</c:v>
                </c:pt>
              </c:numCache>
            </c:numRef>
          </c:val>
        </c:ser>
        <c:ser>
          <c:idx val="1"/>
          <c:order val="1"/>
          <c:tx>
            <c:strRef>
              <c:f>'TOC1'!$V$37</c:f>
              <c:strCache>
                <c:ptCount val="1"/>
                <c:pt idx="0">
                  <c:v>DOC SAND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'TOC1'!$AF$37:$AI$37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0.63000000000000245</c:v>
                  </c:pt>
                  <c:pt idx="2">
                    <c:v>0.19999999999999929</c:v>
                  </c:pt>
                  <c:pt idx="3">
                    <c:v>0.13500000000000156</c:v>
                  </c:pt>
                </c:numCache>
              </c:numRef>
            </c:plus>
            <c:minus>
              <c:numRef>
                <c:f>'TOC1'!$AF$37:$AI$37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0.63000000000000245</c:v>
                  </c:pt>
                  <c:pt idx="2">
                    <c:v>0.19999999999999929</c:v>
                  </c:pt>
                  <c:pt idx="3">
                    <c:v>0.13500000000000156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'TOC1'!$W$33:$AA$33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'TOC1'!$W$37:$AA$37</c:f>
              <c:numCache>
                <c:formatCode>0.00</c:formatCode>
                <c:ptCount val="5"/>
                <c:pt idx="0">
                  <c:v>31.42</c:v>
                </c:pt>
                <c:pt idx="1">
                  <c:v>27.965</c:v>
                </c:pt>
                <c:pt idx="2">
                  <c:v>28.899999999999995</c:v>
                </c:pt>
                <c:pt idx="3">
                  <c:v>30.004999999999999</c:v>
                </c:pt>
                <c:pt idx="4">
                  <c:v>29.724999999999994</c:v>
                </c:pt>
              </c:numCache>
            </c:numRef>
          </c:val>
        </c:ser>
        <c:ser>
          <c:idx val="2"/>
          <c:order val="2"/>
          <c:tx>
            <c:strRef>
              <c:f>'TOC1'!$V$38</c:f>
              <c:strCache>
                <c:ptCount val="1"/>
                <c:pt idx="0">
                  <c:v>DOC SAND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'TOC1'!$AF$38:$AI$38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0.24500000000000099</c:v>
                  </c:pt>
                  <c:pt idx="2">
                    <c:v>0.23999999999999844</c:v>
                  </c:pt>
                  <c:pt idx="3">
                    <c:v>4.9999999999997158E-2</c:v>
                  </c:pt>
                </c:numCache>
              </c:numRef>
            </c:plus>
            <c:minus>
              <c:numRef>
                <c:f>'TOC1'!$AF$38:$AI$38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0.24500000000000099</c:v>
                  </c:pt>
                  <c:pt idx="2">
                    <c:v>0.23999999999999844</c:v>
                  </c:pt>
                  <c:pt idx="3">
                    <c:v>4.9999999999997158E-2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'TOC1'!$W$33:$AA$33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'TOC1'!$W$38:$AA$38</c:f>
              <c:numCache>
                <c:formatCode>0.00</c:formatCode>
                <c:ptCount val="5"/>
                <c:pt idx="0">
                  <c:v>31.47</c:v>
                </c:pt>
                <c:pt idx="1">
                  <c:v>27.770000000000003</c:v>
                </c:pt>
                <c:pt idx="2">
                  <c:v>28.45</c:v>
                </c:pt>
                <c:pt idx="3">
                  <c:v>30.05</c:v>
                </c:pt>
                <c:pt idx="4">
                  <c:v>28.594999999999999</c:v>
                </c:pt>
              </c:numCache>
            </c:numRef>
          </c:val>
        </c:ser>
        <c:ser>
          <c:idx val="3"/>
          <c:order val="3"/>
          <c:tx>
            <c:strRef>
              <c:f>'TOC1'!$V$39</c:f>
              <c:strCache>
                <c:ptCount val="1"/>
                <c:pt idx="0">
                  <c:v>DOC GAC1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'TOC1'!$AF$39:$AI$39</c:f>
                <c:numCache>
                  <c:formatCode>General</c:formatCode>
                  <c:ptCount val="4"/>
                  <c:pt idx="0">
                    <c:v>1.3264999999999958</c:v>
                  </c:pt>
                  <c:pt idx="1">
                    <c:v>0.44499999999999851</c:v>
                  </c:pt>
                  <c:pt idx="2">
                    <c:v>3.5000000000001918E-2</c:v>
                  </c:pt>
                  <c:pt idx="3">
                    <c:v>0.15499999999999933</c:v>
                  </c:pt>
                </c:numCache>
              </c:numRef>
            </c:plus>
            <c:minus>
              <c:numRef>
                <c:f>'TOC1'!$AF$39:$AI$39</c:f>
                <c:numCache>
                  <c:formatCode>General</c:formatCode>
                  <c:ptCount val="4"/>
                  <c:pt idx="0">
                    <c:v>1.3264999999999958</c:v>
                  </c:pt>
                  <c:pt idx="1">
                    <c:v>0.44499999999999851</c:v>
                  </c:pt>
                  <c:pt idx="2">
                    <c:v>3.5000000000001918E-2</c:v>
                  </c:pt>
                  <c:pt idx="3">
                    <c:v>0.15499999999999933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'TOC1'!$W$33:$AA$33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'TOC1'!$W$39:$AA$39</c:f>
              <c:numCache>
                <c:formatCode>0.00</c:formatCode>
                <c:ptCount val="5"/>
                <c:pt idx="0">
                  <c:v>18.686499999999995</c:v>
                </c:pt>
                <c:pt idx="1">
                  <c:v>21.875000000000007</c:v>
                </c:pt>
                <c:pt idx="2">
                  <c:v>24.985000000000007</c:v>
                </c:pt>
                <c:pt idx="3">
                  <c:v>32.055</c:v>
                </c:pt>
                <c:pt idx="4">
                  <c:v>26.619999999999997</c:v>
                </c:pt>
              </c:numCache>
            </c:numRef>
          </c:val>
        </c:ser>
        <c:ser>
          <c:idx val="4"/>
          <c:order val="4"/>
          <c:tx>
            <c:strRef>
              <c:f>'TOC1'!$V$40</c:f>
              <c:strCache>
                <c:ptCount val="1"/>
                <c:pt idx="0">
                  <c:v>DOC GAC2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'TOC1'!$AF$40:$AI$40</c:f>
                <c:numCache>
                  <c:formatCode>General</c:formatCode>
                  <c:ptCount val="4"/>
                  <c:pt idx="0">
                    <c:v>1.3689999999999998</c:v>
                  </c:pt>
                  <c:pt idx="1">
                    <c:v>0.28999999999999915</c:v>
                  </c:pt>
                  <c:pt idx="2">
                    <c:v>0.33000000000000007</c:v>
                  </c:pt>
                  <c:pt idx="3">
                    <c:v>3.9999999999997371E-2</c:v>
                  </c:pt>
                </c:numCache>
              </c:numRef>
            </c:plus>
            <c:minus>
              <c:numRef>
                <c:f>'TOC1'!$AF$40:$AI$40</c:f>
                <c:numCache>
                  <c:formatCode>General</c:formatCode>
                  <c:ptCount val="4"/>
                  <c:pt idx="0">
                    <c:v>1.3689999999999998</c:v>
                  </c:pt>
                  <c:pt idx="1">
                    <c:v>0.28999999999999915</c:v>
                  </c:pt>
                  <c:pt idx="2">
                    <c:v>0.33000000000000007</c:v>
                  </c:pt>
                  <c:pt idx="3">
                    <c:v>3.9999999999997371E-2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'TOC1'!$W$33:$AA$33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</c:numCache>
            </c:numRef>
          </c:cat>
          <c:val>
            <c:numRef>
              <c:f>'TOC1'!$W$40:$AA$40</c:f>
              <c:numCache>
                <c:formatCode>0.00</c:formatCode>
                <c:ptCount val="5"/>
                <c:pt idx="0">
                  <c:v>18.003</c:v>
                </c:pt>
                <c:pt idx="1">
                  <c:v>21.919999999999998</c:v>
                </c:pt>
                <c:pt idx="2">
                  <c:v>24.450000000000003</c:v>
                </c:pt>
                <c:pt idx="3">
                  <c:v>27.479999999999997</c:v>
                </c:pt>
                <c:pt idx="4">
                  <c:v>26.544999999999998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356056"/>
        <c:axId val="215356448"/>
      </c:barChart>
      <c:catAx>
        <c:axId val="215356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356448"/>
        <c:crosses val="autoZero"/>
        <c:auto val="1"/>
        <c:lblAlgn val="ctr"/>
        <c:lblOffset val="100"/>
        <c:noMultiLvlLbl val="1"/>
      </c:catAx>
      <c:valAx>
        <c:axId val="21535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TOC (mg/L)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356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Pertcentage SAND</a:t>
            </a:r>
            <a:endParaRPr lang="en-GB"/>
          </a:p>
        </c:rich>
      </c:tx>
      <c:layout>
        <c:manualLayout>
          <c:xMode val="edge"/>
          <c:yMode val="edge"/>
          <c:x val="0.2368611111111111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97003499562555"/>
          <c:y val="0.23393518518518519"/>
          <c:w val="0.79650131233595789"/>
          <c:h val="0.6216976523767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'TOC1'!$V$37</c:f>
              <c:strCache>
                <c:ptCount val="1"/>
                <c:pt idx="0">
                  <c:v>DOC SAND 1</c:v>
                </c:pt>
              </c:strCache>
            </c:strRef>
          </c:tx>
          <c:spPr>
            <a:ln w="15875" cap="rnd">
              <a:solidFill>
                <a:schemeClr val="tx2"/>
              </a:solidFill>
              <a:prstDash val="sysDash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'TOC1'!$AN$37:$AT$37</c:f>
              <c:numCache>
                <c:formatCode>0%</c:formatCode>
                <c:ptCount val="7"/>
                <c:pt idx="0">
                  <c:v>0</c:v>
                </c:pt>
                <c:pt idx="1">
                  <c:v>5.122985581000853E-2</c:v>
                </c:pt>
                <c:pt idx="2">
                  <c:v>1.6337644656229101E-2</c:v>
                </c:pt>
                <c:pt idx="3">
                  <c:v>4.6506824284602163E-2</c:v>
                </c:pt>
                <c:pt idx="4">
                  <c:v>5.4698680235331719E-2</c:v>
                </c:pt>
                <c:pt idx="5">
                  <c:v>0.13083149374540104</c:v>
                </c:pt>
                <c:pt idx="6">
                  <c:v>7.9932752559988038E-2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'TOC1'!$V$38</c:f>
              <c:strCache>
                <c:ptCount val="1"/>
                <c:pt idx="0">
                  <c:v>DOC SAND 2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'TOC1'!$AN$38:$AT$38</c:f>
              <c:numCache>
                <c:formatCode>0%</c:formatCode>
                <c:ptCount val="7"/>
                <c:pt idx="0">
                  <c:v>0</c:v>
                </c:pt>
                <c:pt idx="1">
                  <c:v>5.7845631891433359E-2</c:v>
                </c:pt>
                <c:pt idx="2">
                  <c:v>3.1654186521443382E-2</c:v>
                </c:pt>
                <c:pt idx="3">
                  <c:v>4.5076822854600684E-2</c:v>
                </c:pt>
                <c:pt idx="4">
                  <c:v>9.0634441087613343E-2</c:v>
                </c:pt>
                <c:pt idx="5">
                  <c:v>0.12155997056659305</c:v>
                </c:pt>
                <c:pt idx="6">
                  <c:v>8.4976310560904808E-2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507856"/>
        <c:axId val="27550864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'TOC1'!$V$39</c15:sqref>
                        </c15:formulaRef>
                      </c:ext>
                    </c:extLst>
                    <c:strCache>
                      <c:ptCount val="1"/>
                      <c:pt idx="0">
                        <c:v>DOC GAC1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3">
                            <a:shade val="51000"/>
                            <a:satMod val="130000"/>
                          </a:schemeClr>
                        </a:gs>
                        <a:gs pos="80000">
                          <a:schemeClr val="accent3">
                            <a:shade val="93000"/>
                            <a:satMod val="130000"/>
                          </a:schemeClr>
                        </a:gs>
                        <a:gs pos="100000">
                          <a:schemeClr val="accent3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3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'TOC1'!$AO$39:$AQ$39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0.25784563189143322</c:v>
                      </c:pt>
                      <c:pt idx="1">
                        <c:v>0.14959155888359424</c:v>
                      </c:pt>
                      <c:pt idx="2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'TOC1'!$V$40</c15:sqref>
                        </c15:formulaRef>
                      </c:ext>
                    </c:extLst>
                    <c:strCache>
                      <c:ptCount val="1"/>
                      <c:pt idx="0">
                        <c:v>DOC GAC2</c:v>
                      </c:pt>
                    </c:strCache>
                  </c:strRef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4">
                            <a:shade val="51000"/>
                            <a:satMod val="130000"/>
                          </a:schemeClr>
                        </a:gs>
                        <a:gs pos="80000">
                          <a:schemeClr val="accent4">
                            <a:shade val="93000"/>
                            <a:satMod val="130000"/>
                          </a:schemeClr>
                        </a:gs>
                        <a:gs pos="100000">
                          <a:schemeClr val="accent4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4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'TOC1'!$AO$40:$AQ$40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0.25631891433418164</c:v>
                      </c:pt>
                      <c:pt idx="1">
                        <c:v>0.16780122532334929</c:v>
                      </c:pt>
                      <c:pt idx="2">
                        <c:v>0.12674579341246026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'TOC1'!$V$41</c15:sqref>
                        </c15:formulaRef>
                      </c:ext>
                    </c:extLst>
                    <c:strCache>
                      <c:ptCount val="1"/>
                      <c:pt idx="0">
                        <c:v>DOC SAND STR</c:v>
                      </c:pt>
                    </c:strCache>
                  </c:strRef>
                </c:tx>
                <c:spPr>
                  <a:ln w="15875" cap="rnd">
                    <a:solidFill>
                      <a:schemeClr val="accent2"/>
                    </a:solidFill>
                    <a:prstDash val="solid"/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'TOC1'!$W$33:$AC$33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  <c:pt idx="6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'TOC1'!$AN$41:$AT$41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6.3754020625455876E-2</c:v>
                      </c:pt>
                      <c:pt idx="1">
                        <c:v>6.7012442038717215E-2</c:v>
                      </c:pt>
                      <c:pt idx="2">
                        <c:v>0</c:v>
                      </c:pt>
                      <c:pt idx="3">
                        <c:v>4.9300188009191399E-2</c:v>
                      </c:pt>
                      <c:pt idx="4">
                        <c:v>6.8777292576419236E-2</c:v>
                      </c:pt>
                      <c:pt idx="5">
                        <c:v>3.0104119511090949E-2</c:v>
                      </c:pt>
                      <c:pt idx="6">
                        <c:v>0.10955269143290373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'TOC1'!$V$42</c15:sqref>
                        </c15:formulaRef>
                      </c:ext>
                    </c:extLst>
                    <c:strCache>
                      <c:ptCount val="1"/>
                      <c:pt idx="0">
                        <c:v>DOC GAC STR 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6">
                            <a:shade val="51000"/>
                            <a:satMod val="130000"/>
                          </a:schemeClr>
                        </a:gs>
                        <a:gs pos="80000">
                          <a:schemeClr val="accent6">
                            <a:shade val="93000"/>
                            <a:satMod val="130000"/>
                          </a:schemeClr>
                        </a:gs>
                        <a:gs pos="100000">
                          <a:schemeClr val="accent6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6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'TOC1'!$AO$42:$AQ$42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0.28687996884316863</c:v>
                      </c:pt>
                      <c:pt idx="1">
                        <c:v>0.19270791150024377</c:v>
                      </c:pt>
                      <c:pt idx="2">
                        <c:v>0.13766450804261521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7550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/>
                  <a:t>Time</a:t>
                </a:r>
                <a:r>
                  <a:rPr lang="en-GB" sz="1000" baseline="0"/>
                  <a:t> (d)</a:t>
                </a:r>
                <a:endParaRPr lang="en-GB" sz="1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508640"/>
        <c:crosses val="autoZero"/>
        <c:crossBetween val="midCat"/>
      </c:valAx>
      <c:valAx>
        <c:axId val="27550864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Depletion</a:t>
                </a:r>
                <a:r>
                  <a:rPr lang="en-GB" sz="1050" baseline="0"/>
                  <a:t> (%)</a:t>
                </a:r>
                <a:endParaRPr lang="en-GB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507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747134733158355"/>
          <c:y val="0.13403834937299505"/>
          <c:w val="0.74530643044619427"/>
          <c:h val="8.62284922717993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Percentage GAC</a:t>
            </a:r>
            <a:endParaRPr lang="en-GB"/>
          </a:p>
        </c:rich>
      </c:tx>
      <c:layout>
        <c:manualLayout>
          <c:xMode val="edge"/>
          <c:yMode val="edge"/>
          <c:x val="0.2661388888888888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5255905511811"/>
          <c:y val="0.21541666666666667"/>
          <c:w val="0.82418197725284337"/>
          <c:h val="0.64484580052493434"/>
        </c:manualLayout>
      </c:layout>
      <c:scatterChart>
        <c:scatterStyle val="lineMarker"/>
        <c:varyColors val="0"/>
        <c:ser>
          <c:idx val="2"/>
          <c:order val="2"/>
          <c:tx>
            <c:strRef>
              <c:f>'TOC1'!$V$39</c:f>
              <c:strCache>
                <c:ptCount val="1"/>
                <c:pt idx="0">
                  <c:v>DOC GAC1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'TOC1'!$AN$39:$AT$39</c:f>
              <c:numCache>
                <c:formatCode>0%</c:formatCode>
                <c:ptCount val="7"/>
                <c:pt idx="0">
                  <c:v>0.39191343963553549</c:v>
                </c:pt>
                <c:pt idx="1">
                  <c:v>0.25784563189143322</c:v>
                </c:pt>
                <c:pt idx="2">
                  <c:v>0.14959155888359424</c:v>
                </c:pt>
                <c:pt idx="3">
                  <c:v>0</c:v>
                </c:pt>
                <c:pt idx="4">
                  <c:v>0.15344251868341557</c:v>
                </c:pt>
                <c:pt idx="5">
                  <c:v>0.15246504782928622</c:v>
                </c:pt>
                <c:pt idx="6">
                  <c:v>0.10041265474552967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'TOC1'!$V$40</c:f>
              <c:strCache>
                <c:ptCount val="1"/>
                <c:pt idx="0">
                  <c:v>DOC GAC2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4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'TOC1'!$AN$40:$AT$40</c:f>
              <c:numCache>
                <c:formatCode>0%</c:formatCode>
                <c:ptCount val="7"/>
                <c:pt idx="0">
                  <c:v>0.41415554832411328</c:v>
                </c:pt>
                <c:pt idx="1">
                  <c:v>0.25631891433418164</c:v>
                </c:pt>
                <c:pt idx="2">
                  <c:v>0.16780122532334929</c:v>
                </c:pt>
                <c:pt idx="3">
                  <c:v>0.12674579341246026</c:v>
                </c:pt>
                <c:pt idx="4">
                  <c:v>0.15582763555414222</c:v>
                </c:pt>
                <c:pt idx="5">
                  <c:v>0.19514348785871971</c:v>
                </c:pt>
                <c:pt idx="6">
                  <c:v>0.13021549747822092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'TOC1'!$V$42</c:f>
              <c:strCache>
                <c:ptCount val="1"/>
                <c:pt idx="0">
                  <c:v>DOC GAC STR 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6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'TOC1'!$W$33:$AC$33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  <c:extLst xmlns:c15="http://schemas.microsoft.com/office/drawing/2012/chart"/>
            </c:numRef>
          </c:xVal>
          <c:yVal>
            <c:numRef>
              <c:f>'TOC1'!$AN$42:$AT$42</c:f>
              <c:numCache>
                <c:formatCode>0%</c:formatCode>
                <c:ptCount val="7"/>
                <c:pt idx="0">
                  <c:v>0.41045592645137996</c:v>
                </c:pt>
                <c:pt idx="1">
                  <c:v>0.28687996884316863</c:v>
                </c:pt>
                <c:pt idx="2">
                  <c:v>0.19270791150024377</c:v>
                </c:pt>
                <c:pt idx="3">
                  <c:v>0.13766450804261521</c:v>
                </c:pt>
                <c:pt idx="4">
                  <c:v>0.29457787481804948</c:v>
                </c:pt>
                <c:pt idx="5">
                  <c:v>0.24671797193300146</c:v>
                </c:pt>
                <c:pt idx="6">
                  <c:v>0.14158453373768018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487504"/>
        <c:axId val="2154843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'TOC1'!$V$37</c15:sqref>
                        </c15:formulaRef>
                      </c:ext>
                    </c:extLst>
                    <c:strCache>
                      <c:ptCount val="1"/>
                      <c:pt idx="0">
                        <c:v>DOC SAND 1</c:v>
                      </c:pt>
                    </c:strCache>
                  </c:strRef>
                </c:tx>
                <c:spPr>
                  <a:ln w="9525" cap="rnd">
                    <a:solidFill>
                      <a:schemeClr val="accent1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1">
                            <a:shade val="51000"/>
                            <a:satMod val="130000"/>
                          </a:schemeClr>
                        </a:gs>
                        <a:gs pos="80000">
                          <a:schemeClr val="accent1">
                            <a:shade val="93000"/>
                            <a:satMod val="130000"/>
                          </a:schemeClr>
                        </a:gs>
                        <a:gs pos="100000">
                          <a:schemeClr val="accent1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1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'TOC1'!$W$33:$AB$33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  <c:pt idx="4">
                        <c:v>34</c:v>
                      </c:pt>
                      <c:pt idx="5">
                        <c:v>43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'TOC1'!$AO$37:$AS$37</c15:sqref>
                        </c15:formulaRef>
                      </c:ext>
                    </c:extLst>
                    <c:numCache>
                      <c:formatCode>0%</c:formatCode>
                      <c:ptCount val="5"/>
                      <c:pt idx="0">
                        <c:v>5.122985581000853E-2</c:v>
                      </c:pt>
                      <c:pt idx="1">
                        <c:v>1.6337644656229101E-2</c:v>
                      </c:pt>
                      <c:pt idx="2">
                        <c:v>4.6506824284602163E-2</c:v>
                      </c:pt>
                      <c:pt idx="3">
                        <c:v>5.4698680235331719E-2</c:v>
                      </c:pt>
                      <c:pt idx="4">
                        <c:v>0.13083149374540104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'TOC1'!$V$38</c15:sqref>
                        </c15:formulaRef>
                      </c:ext>
                    </c:extLst>
                    <c:strCache>
                      <c:ptCount val="1"/>
                      <c:pt idx="0">
                        <c:v>DOC SAND 2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2">
                            <a:shade val="51000"/>
                            <a:satMod val="130000"/>
                          </a:schemeClr>
                        </a:gs>
                        <a:gs pos="80000">
                          <a:schemeClr val="accent2">
                            <a:shade val="93000"/>
                            <a:satMod val="130000"/>
                          </a:schemeClr>
                        </a:gs>
                        <a:gs pos="100000">
                          <a:schemeClr val="accent2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2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'TOC1'!$AO$38:$AQ$38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5.7845631891433359E-2</c:v>
                      </c:pt>
                      <c:pt idx="1">
                        <c:v>3.1654186521443382E-2</c:v>
                      </c:pt>
                      <c:pt idx="2">
                        <c:v>4.5076822854600684E-2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'TOC1'!$V$41</c15:sqref>
                        </c15:formulaRef>
                      </c:ext>
                    </c:extLst>
                    <c:strCache>
                      <c:ptCount val="1"/>
                      <c:pt idx="0">
                        <c:v>DOC SAND STR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5">
                            <a:shade val="51000"/>
                            <a:satMod val="130000"/>
                          </a:schemeClr>
                        </a:gs>
                        <a:gs pos="80000">
                          <a:schemeClr val="accent5">
                            <a:shade val="93000"/>
                            <a:satMod val="130000"/>
                          </a:schemeClr>
                        </a:gs>
                        <a:gs pos="100000">
                          <a:schemeClr val="accent5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5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'TOC1'!$AO$41:$AQ$41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6.7012442038717215E-2</c:v>
                      </c:pt>
                      <c:pt idx="1">
                        <c:v>0</c:v>
                      </c:pt>
                      <c:pt idx="2">
                        <c:v>4.9300188009191399E-2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15487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484368"/>
        <c:crosses val="autoZero"/>
        <c:crossBetween val="midCat"/>
      </c:valAx>
      <c:valAx>
        <c:axId val="21548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Depletion(%)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48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404090113735781"/>
          <c:y val="0.1108902012248469"/>
          <c:w val="0.57873687664041995"/>
          <c:h val="9.54877515310586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Percentage GAC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'TOC1'!$V$10</c:f>
              <c:strCache>
                <c:ptCount val="1"/>
                <c:pt idx="0">
                  <c:v>TC GAC1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'TOC1'!$AN$4:$AT$4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'TOC1'!$AN$10:$AT$10</c:f>
              <c:numCache>
                <c:formatCode>0%</c:formatCode>
                <c:ptCount val="7"/>
                <c:pt idx="0">
                  <c:v>0.21479629629629637</c:v>
                </c:pt>
                <c:pt idx="1">
                  <c:v>0.13457422056770585</c:v>
                </c:pt>
                <c:pt idx="2">
                  <c:v>8.158162792851191E-2</c:v>
                </c:pt>
                <c:pt idx="3">
                  <c:v>0</c:v>
                </c:pt>
                <c:pt idx="4">
                  <c:v>7.8777997082296464E-2</c:v>
                </c:pt>
                <c:pt idx="5">
                  <c:v>7.3710482529118132E-2</c:v>
                </c:pt>
                <c:pt idx="6">
                  <c:v>5.8556284704694546E-2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'TOC1'!$V$11</c:f>
              <c:strCache>
                <c:ptCount val="1"/>
                <c:pt idx="0">
                  <c:v>TC GAC2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4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'TOC1'!$W$4:$AC$4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'TOC1'!$AN$11:$AT$11</c:f>
              <c:numCache>
                <c:formatCode>0%</c:formatCode>
                <c:ptCount val="7"/>
                <c:pt idx="0">
                  <c:v>0.32570370370370372</c:v>
                </c:pt>
                <c:pt idx="1">
                  <c:v>0.14434620753839</c:v>
                </c:pt>
                <c:pt idx="2">
                  <c:v>9.0193536438559208E-2</c:v>
                </c:pt>
                <c:pt idx="3">
                  <c:v>5.9998255864655181E-2</c:v>
                </c:pt>
                <c:pt idx="4">
                  <c:v>8.6587144941216887E-2</c:v>
                </c:pt>
                <c:pt idx="5">
                  <c:v>9.9667221297836964E-2</c:v>
                </c:pt>
                <c:pt idx="6">
                  <c:v>7.6476527006562253E-2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'TOC1'!$V$13</c:f>
              <c:strCache>
                <c:ptCount val="1"/>
                <c:pt idx="0">
                  <c:v>TC GAC STR 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6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'TOC1'!$W$4:$AC$4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  <c:extLst xmlns:c15="http://schemas.microsoft.com/office/drawing/2012/chart"/>
            </c:numRef>
          </c:xVal>
          <c:yVal>
            <c:numRef>
              <c:f>'TOC1'!$AN$13:$AT$13</c:f>
              <c:numCache>
                <c:formatCode>0%</c:formatCode>
                <c:ptCount val="7"/>
                <c:pt idx="0">
                  <c:v>0.27954980422024972</c:v>
                </c:pt>
                <c:pt idx="1">
                  <c:v>5.7673820416109078E-2</c:v>
                </c:pt>
                <c:pt idx="2">
                  <c:v>3.2137846158665308E-2</c:v>
                </c:pt>
                <c:pt idx="3">
                  <c:v>0</c:v>
                </c:pt>
                <c:pt idx="4">
                  <c:v>0.19137951734902148</c:v>
                </c:pt>
                <c:pt idx="5">
                  <c:v>0.17240871613663133</c:v>
                </c:pt>
                <c:pt idx="6">
                  <c:v>6.8149210903873783E-2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546720"/>
        <c:axId val="2765471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'TOC1'!$V$37</c15:sqref>
                        </c15:formulaRef>
                      </c:ext>
                    </c:extLst>
                    <c:strCache>
                      <c:ptCount val="1"/>
                      <c:pt idx="0">
                        <c:v>DOC SAND 1</c:v>
                      </c:pt>
                    </c:strCache>
                  </c:strRef>
                </c:tx>
                <c:spPr>
                  <a:ln w="9525" cap="rnd">
                    <a:solidFill>
                      <a:schemeClr val="accent1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1">
                            <a:shade val="51000"/>
                            <a:satMod val="130000"/>
                          </a:schemeClr>
                        </a:gs>
                        <a:gs pos="80000">
                          <a:schemeClr val="accent1">
                            <a:shade val="93000"/>
                            <a:satMod val="130000"/>
                          </a:schemeClr>
                        </a:gs>
                        <a:gs pos="100000">
                          <a:schemeClr val="accent1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1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'TOC1'!$AO$37:$AQ$37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5.122985581000853E-2</c:v>
                      </c:pt>
                      <c:pt idx="1">
                        <c:v>1.6337644656229101E-2</c:v>
                      </c:pt>
                      <c:pt idx="2">
                        <c:v>4.6506824284602163E-2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'TOC1'!$V$38</c15:sqref>
                        </c15:formulaRef>
                      </c:ext>
                    </c:extLst>
                    <c:strCache>
                      <c:ptCount val="1"/>
                      <c:pt idx="0">
                        <c:v>DOC SAND 2</c:v>
                      </c:pt>
                    </c:strCache>
                  </c:strRef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2">
                            <a:shade val="51000"/>
                            <a:satMod val="130000"/>
                          </a:schemeClr>
                        </a:gs>
                        <a:gs pos="80000">
                          <a:schemeClr val="accent2">
                            <a:shade val="93000"/>
                            <a:satMod val="130000"/>
                          </a:schemeClr>
                        </a:gs>
                        <a:gs pos="100000">
                          <a:schemeClr val="accent2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2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'TOC1'!$AO$38:$AQ$38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5.7845631891433359E-2</c:v>
                      </c:pt>
                      <c:pt idx="1">
                        <c:v>3.1654186521443382E-2</c:v>
                      </c:pt>
                      <c:pt idx="2">
                        <c:v>4.5076822854600684E-2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'TOC1'!$V$41</c15:sqref>
                        </c15:formulaRef>
                      </c:ext>
                    </c:extLst>
                    <c:strCache>
                      <c:ptCount val="1"/>
                      <c:pt idx="0">
                        <c:v>DOC SAND STR</c:v>
                      </c:pt>
                    </c:strCache>
                  </c:strRef>
                </c:tx>
                <c:spPr>
                  <a:ln w="9525" cap="rnd">
                    <a:solidFill>
                      <a:schemeClr val="accent5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5">
                            <a:shade val="51000"/>
                            <a:satMod val="130000"/>
                          </a:schemeClr>
                        </a:gs>
                        <a:gs pos="80000">
                          <a:schemeClr val="accent5">
                            <a:shade val="93000"/>
                            <a:satMod val="130000"/>
                          </a:schemeClr>
                        </a:gs>
                        <a:gs pos="100000">
                          <a:schemeClr val="accent5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5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'TOC1'!$AO$41:$AQ$41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6.7012442038717215E-2</c:v>
                      </c:pt>
                      <c:pt idx="1">
                        <c:v>0</c:v>
                      </c:pt>
                      <c:pt idx="2">
                        <c:v>4.9300188009191399E-2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76546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7112"/>
        <c:crosses val="autoZero"/>
        <c:crossBetween val="midCat"/>
      </c:valAx>
      <c:valAx>
        <c:axId val="27654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Depletion(%)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Depletion</a:t>
            </a:r>
            <a:r>
              <a:rPr lang="en-GB" baseline="0"/>
              <a:t> Pertcentage SAND</a:t>
            </a:r>
            <a:endParaRPr lang="en-GB"/>
          </a:p>
        </c:rich>
      </c:tx>
      <c:layout>
        <c:manualLayout>
          <c:xMode val="edge"/>
          <c:yMode val="edge"/>
          <c:x val="0.23686111111111111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'TOC1'!$V$8</c:f>
              <c:strCache>
                <c:ptCount val="1"/>
                <c:pt idx="0">
                  <c:v>TC SAND 1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'TOC1'!$W$4:$AC$4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'TOC1'!$AN$8:$AT$8</c:f>
              <c:numCache>
                <c:formatCode>0%</c:formatCode>
                <c:ptCount val="7"/>
                <c:pt idx="0">
                  <c:v>0</c:v>
                </c:pt>
                <c:pt idx="1">
                  <c:v>2.4848766868310859E-2</c:v>
                </c:pt>
                <c:pt idx="2">
                  <c:v>1.6297805352347618E-2</c:v>
                </c:pt>
                <c:pt idx="3">
                  <c:v>1.8487834655969343E-2</c:v>
                </c:pt>
                <c:pt idx="4">
                  <c:v>3.2609628421865711E-2</c:v>
                </c:pt>
                <c:pt idx="5">
                  <c:v>6.688851913477542E-2</c:v>
                </c:pt>
                <c:pt idx="6">
                  <c:v>4.6609456503449491E-2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'TOC1'!$V$9</c:f>
              <c:strCache>
                <c:ptCount val="1"/>
                <c:pt idx="0">
                  <c:v>TC SAND 2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'TOC1'!$W$4:$AC$4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</c:numRef>
          </c:xVal>
          <c:yVal>
            <c:numRef>
              <c:f>'TOC1'!$AN$9:$AT$9</c:f>
              <c:numCache>
                <c:formatCode>0%</c:formatCode>
                <c:ptCount val="7"/>
                <c:pt idx="0">
                  <c:v>-6.6666666666666558E-3</c:v>
                </c:pt>
                <c:pt idx="1">
                  <c:v>2.4848766868310859E-2</c:v>
                </c:pt>
                <c:pt idx="2">
                  <c:v>2.4354106861746546E-2</c:v>
                </c:pt>
                <c:pt idx="3">
                  <c:v>1.770297375076307E-2</c:v>
                </c:pt>
                <c:pt idx="4">
                  <c:v>5.2518664721530973E-2</c:v>
                </c:pt>
                <c:pt idx="5">
                  <c:v>6.1231281198003321E-2</c:v>
                </c:pt>
                <c:pt idx="6">
                  <c:v>5.1489146895507237E-2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'TOC1'!$V$12</c:f>
              <c:strCache>
                <c:ptCount val="1"/>
                <c:pt idx="0">
                  <c:v>TC SAND STR</c:v>
                </c:pt>
              </c:strCache>
              <c:extLst xmlns:c15="http://schemas.microsoft.com/office/drawing/2012/chart"/>
            </c:strRef>
          </c:tx>
          <c:spPr>
            <a:ln w="95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5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'TOC1'!$W$4:$AC$4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56</c:v>
                </c:pt>
              </c:numCache>
              <c:extLst xmlns:c15="http://schemas.microsoft.com/office/drawing/2012/chart"/>
            </c:numRef>
          </c:xVal>
          <c:yVal>
            <c:numRef>
              <c:f>'TOC1'!$AN$12:$AT$12</c:f>
              <c:numCache>
                <c:formatCode>0%</c:formatCode>
                <c:ptCount val="7"/>
                <c:pt idx="0">
                  <c:v>7.9246516487486832E-2</c:v>
                </c:pt>
                <c:pt idx="1">
                  <c:v>1.5920743385463773E-2</c:v>
                </c:pt>
                <c:pt idx="2">
                  <c:v>0</c:v>
                </c:pt>
                <c:pt idx="3">
                  <c:v>1.9496772493742456E-2</c:v>
                </c:pt>
                <c:pt idx="4">
                  <c:v>2.2931924600792374E-2</c:v>
                </c:pt>
                <c:pt idx="5">
                  <c:v>-4.2697290930507397E-3</c:v>
                </c:pt>
                <c:pt idx="6">
                  <c:v>6.7192730750836968E-2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547896"/>
        <c:axId val="276548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'TOC1'!$V$39</c15:sqref>
                        </c15:formulaRef>
                      </c:ext>
                    </c:extLst>
                    <c:strCache>
                      <c:ptCount val="1"/>
                      <c:pt idx="0">
                        <c:v>DOC GAC1</c:v>
                      </c:pt>
                    </c:strCache>
                  </c:strRef>
                </c:tx>
                <c:spPr>
                  <a:ln w="9525" cap="rnd">
                    <a:solidFill>
                      <a:schemeClr val="accent3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3">
                            <a:shade val="51000"/>
                            <a:satMod val="130000"/>
                          </a:schemeClr>
                        </a:gs>
                        <a:gs pos="80000">
                          <a:schemeClr val="accent3">
                            <a:shade val="93000"/>
                            <a:satMod val="130000"/>
                          </a:schemeClr>
                        </a:gs>
                        <a:gs pos="100000">
                          <a:schemeClr val="accent3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3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'TOC1'!$AO$39:$AQ$39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0.25784563189143322</c:v>
                      </c:pt>
                      <c:pt idx="1">
                        <c:v>0.14959155888359424</c:v>
                      </c:pt>
                      <c:pt idx="2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'TOC1'!$V$40</c15:sqref>
                        </c15:formulaRef>
                      </c:ext>
                    </c:extLst>
                    <c:strCache>
                      <c:ptCount val="1"/>
                      <c:pt idx="0">
                        <c:v>DOC GAC2</c:v>
                      </c:pt>
                    </c:strCache>
                  </c:strRef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4">
                            <a:shade val="51000"/>
                            <a:satMod val="130000"/>
                          </a:schemeClr>
                        </a:gs>
                        <a:gs pos="80000">
                          <a:schemeClr val="accent4">
                            <a:shade val="93000"/>
                            <a:satMod val="130000"/>
                          </a:schemeClr>
                        </a:gs>
                        <a:gs pos="100000">
                          <a:schemeClr val="accent4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4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'TOC1'!$AO$40:$AQ$40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0.25631891433418164</c:v>
                      </c:pt>
                      <c:pt idx="1">
                        <c:v>0.16780122532334929</c:v>
                      </c:pt>
                      <c:pt idx="2">
                        <c:v>0.12674579341246026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'TOC1'!$V$42</c15:sqref>
                        </c15:formulaRef>
                      </c:ext>
                    </c:extLst>
                    <c:strCache>
                      <c:ptCount val="1"/>
                      <c:pt idx="0">
                        <c:v>DOC GAC STR </c:v>
                      </c:pt>
                    </c:strCache>
                  </c:strRef>
                </c:tx>
                <c:spPr>
                  <a:ln w="9525" cap="rnd">
                    <a:solidFill>
                      <a:schemeClr val="accent6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6">
                            <a:shade val="51000"/>
                            <a:satMod val="130000"/>
                          </a:schemeClr>
                        </a:gs>
                        <a:gs pos="80000">
                          <a:schemeClr val="accent6">
                            <a:shade val="93000"/>
                            <a:satMod val="130000"/>
                          </a:schemeClr>
                        </a:gs>
                        <a:gs pos="100000">
                          <a:schemeClr val="accent6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6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'TOC1'!$AF$33:$AI$33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6</c:v>
                      </c:pt>
                      <c:pt idx="2">
                        <c:v>19</c:v>
                      </c:pt>
                      <c:pt idx="3">
                        <c:v>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'TOC1'!$AO$42:$AQ$42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0.28687996884316863</c:v>
                      </c:pt>
                      <c:pt idx="1">
                        <c:v>0.19270791150024377</c:v>
                      </c:pt>
                      <c:pt idx="2">
                        <c:v>0.13766450804261521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76547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8288"/>
        <c:crosses val="autoZero"/>
        <c:crossBetween val="midCat"/>
      </c:valAx>
      <c:valAx>
        <c:axId val="276548288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Depletion</a:t>
                </a:r>
                <a:r>
                  <a:rPr lang="en-GB" baseline="0"/>
                  <a:t> (%)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47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123264</xdr:colOff>
      <xdr:row>83</xdr:row>
      <xdr:rowOff>42301</xdr:rowOff>
    </xdr:from>
    <xdr:to>
      <xdr:col>7</xdr:col>
      <xdr:colOff>464483</xdr:colOff>
      <xdr:row>97</xdr:row>
      <xdr:rowOff>118501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118781</xdr:colOff>
      <xdr:row>97</xdr:row>
      <xdr:rowOff>149599</xdr:rowOff>
    </xdr:from>
    <xdr:to>
      <xdr:col>7</xdr:col>
      <xdr:colOff>458880</xdr:colOff>
      <xdr:row>112</xdr:row>
      <xdr:rowOff>35299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773206</xdr:colOff>
      <xdr:row>82</xdr:row>
      <xdr:rowOff>100854</xdr:rowOff>
    </xdr:from>
    <xdr:to>
      <xdr:col>14</xdr:col>
      <xdr:colOff>296957</xdr:colOff>
      <xdr:row>96</xdr:row>
      <xdr:rowOff>177054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69</xdr:row>
      <xdr:rowOff>80962</xdr:rowOff>
    </xdr:from>
    <xdr:to>
      <xdr:col>8</xdr:col>
      <xdr:colOff>76200</xdr:colOff>
      <xdr:row>83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69</xdr:row>
      <xdr:rowOff>47625</xdr:rowOff>
    </xdr:from>
    <xdr:to>
      <xdr:col>16</xdr:col>
      <xdr:colOff>171450</xdr:colOff>
      <xdr:row>83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457200</xdr:colOff>
      <xdr:row>121</xdr:row>
      <xdr:rowOff>100012</xdr:rowOff>
    </xdr:from>
    <xdr:to>
      <xdr:col>9</xdr:col>
      <xdr:colOff>152400</xdr:colOff>
      <xdr:row>135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142875</xdr:colOff>
      <xdr:row>84</xdr:row>
      <xdr:rowOff>0</xdr:rowOff>
    </xdr:from>
    <xdr:to>
      <xdr:col>16</xdr:col>
      <xdr:colOff>295275</xdr:colOff>
      <xdr:row>98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38100</xdr:colOff>
      <xdr:row>84</xdr:row>
      <xdr:rowOff>114300</xdr:rowOff>
    </xdr:from>
    <xdr:to>
      <xdr:col>8</xdr:col>
      <xdr:colOff>342900</xdr:colOff>
      <xdr:row>99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438150</xdr:colOff>
      <xdr:row>101</xdr:row>
      <xdr:rowOff>161925</xdr:rowOff>
    </xdr:from>
    <xdr:to>
      <xdr:col>8</xdr:col>
      <xdr:colOff>133350</xdr:colOff>
      <xdr:row>116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180975</xdr:colOff>
      <xdr:row>121</xdr:row>
      <xdr:rowOff>123825</xdr:rowOff>
    </xdr:from>
    <xdr:to>
      <xdr:col>15</xdr:col>
      <xdr:colOff>523875</xdr:colOff>
      <xdr:row>136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581025</xdr:colOff>
      <xdr:row>101</xdr:row>
      <xdr:rowOff>95250</xdr:rowOff>
    </xdr:from>
    <xdr:to>
      <xdr:col>16</xdr:col>
      <xdr:colOff>123825</xdr:colOff>
      <xdr:row>115</xdr:row>
      <xdr:rowOff>171450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179293</xdr:colOff>
      <xdr:row>48</xdr:row>
      <xdr:rowOff>212912</xdr:rowOff>
    </xdr:from>
    <xdr:to>
      <xdr:col>37</xdr:col>
      <xdr:colOff>425824</xdr:colOff>
      <xdr:row>70</xdr:row>
      <xdr:rowOff>157132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496659</xdr:colOff>
      <xdr:row>24</xdr:row>
      <xdr:rowOff>152401</xdr:rowOff>
    </xdr:from>
    <xdr:to>
      <xdr:col>48</xdr:col>
      <xdr:colOff>170088</xdr:colOff>
      <xdr:row>36</xdr:row>
      <xdr:rowOff>92529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opLeftCell="C37" zoomScale="85" zoomScaleNormal="85" workbookViewId="0">
      <selection activeCell="J77" sqref="J77"/>
    </sheetView>
  </sheetViews>
  <sheetFormatPr defaultRowHeight="15" x14ac:dyDescent="0.25"/>
  <cols>
    <col min="1" max="1" width="11.85546875" bestFit="1" customWidth="1"/>
    <col min="2" max="2" width="31.7109375" bestFit="1" customWidth="1"/>
    <col min="3" max="3" width="10.7109375" bestFit="1" customWidth="1"/>
    <col min="4" max="5" width="15.85546875" bestFit="1" customWidth="1"/>
    <col min="6" max="6" width="11" customWidth="1"/>
    <col min="8" max="8" width="12.28515625" bestFit="1" customWidth="1"/>
    <col min="13" max="13" width="10.85546875" bestFit="1" customWidth="1"/>
    <col min="14" max="15" width="15.85546875" bestFit="1" customWidth="1"/>
    <col min="16" max="16" width="9.5703125" customWidth="1"/>
    <col min="18" max="18" width="12.28515625" customWidth="1"/>
  </cols>
  <sheetData>
    <row r="1" spans="1:20" ht="15.75" thickBot="1" x14ac:dyDescent="0.3">
      <c r="D1" t="s">
        <v>26</v>
      </c>
      <c r="E1">
        <v>1013</v>
      </c>
      <c r="G1" s="2"/>
      <c r="H1" s="1"/>
      <c r="O1" t="s">
        <v>26</v>
      </c>
      <c r="P1">
        <v>1008</v>
      </c>
    </row>
    <row r="2" spans="1:20" ht="19.5" thickBot="1" x14ac:dyDescent="0.35">
      <c r="D2" s="178" t="s">
        <v>18</v>
      </c>
      <c r="E2" s="179"/>
      <c r="F2" s="179"/>
      <c r="G2" s="179"/>
      <c r="H2" s="179"/>
      <c r="I2" s="179"/>
      <c r="J2" s="180"/>
      <c r="N2" s="178" t="s">
        <v>19</v>
      </c>
      <c r="O2" s="179"/>
      <c r="P2" s="179"/>
      <c r="Q2" s="179"/>
      <c r="R2" s="179"/>
      <c r="S2" s="179"/>
      <c r="T2" s="180"/>
    </row>
    <row r="3" spans="1:20" x14ac:dyDescent="0.25">
      <c r="D3" s="7" t="s">
        <v>12</v>
      </c>
      <c r="E3" s="8" t="s">
        <v>13</v>
      </c>
      <c r="F3" s="8" t="s">
        <v>24</v>
      </c>
      <c r="G3" s="9" t="s">
        <v>8</v>
      </c>
      <c r="H3" s="9" t="s">
        <v>9</v>
      </c>
      <c r="I3" s="9" t="s">
        <v>9</v>
      </c>
      <c r="J3" s="10" t="s">
        <v>10</v>
      </c>
      <c r="N3" s="7" t="s">
        <v>12</v>
      </c>
      <c r="O3" s="8" t="s">
        <v>13</v>
      </c>
      <c r="P3" s="8"/>
      <c r="Q3" s="9" t="s">
        <v>8</v>
      </c>
      <c r="R3" s="9" t="s">
        <v>9</v>
      </c>
      <c r="S3" s="9" t="s">
        <v>9</v>
      </c>
      <c r="T3" s="10" t="s">
        <v>10</v>
      </c>
    </row>
    <row r="4" spans="1:20" ht="15.75" thickBot="1" x14ac:dyDescent="0.3">
      <c r="D4" s="101"/>
      <c r="E4" s="102"/>
      <c r="F4" s="102" t="s">
        <v>25</v>
      </c>
      <c r="G4" s="103" t="s">
        <v>14</v>
      </c>
      <c r="H4" s="103" t="s">
        <v>16</v>
      </c>
      <c r="I4" s="102" t="s">
        <v>15</v>
      </c>
      <c r="J4" s="104" t="s">
        <v>17</v>
      </c>
      <c r="N4" s="101"/>
      <c r="O4" s="102"/>
      <c r="P4" s="102"/>
      <c r="Q4" s="103" t="s">
        <v>14</v>
      </c>
      <c r="R4" s="103" t="s">
        <v>16</v>
      </c>
      <c r="S4" s="102" t="s">
        <v>15</v>
      </c>
      <c r="T4" s="104" t="s">
        <v>17</v>
      </c>
    </row>
    <row r="5" spans="1:20" x14ac:dyDescent="0.25">
      <c r="A5" s="12" t="s">
        <v>0</v>
      </c>
      <c r="B5" s="107">
        <f>C5-$C$5</f>
        <v>0</v>
      </c>
      <c r="C5" s="118">
        <v>41802</v>
      </c>
      <c r="D5" s="107"/>
      <c r="E5" s="106">
        <v>41802.763888888891</v>
      </c>
      <c r="F5" s="106"/>
      <c r="G5" s="107"/>
      <c r="H5" s="107"/>
      <c r="I5" s="107"/>
      <c r="J5" s="108"/>
      <c r="L5" s="107">
        <f>M5-$C$5</f>
        <v>0</v>
      </c>
      <c r="M5" s="118">
        <v>41802</v>
      </c>
      <c r="N5" s="107"/>
      <c r="O5" s="106">
        <v>41802.763888888891</v>
      </c>
      <c r="P5" s="106"/>
      <c r="Q5" s="107"/>
      <c r="R5" s="107"/>
      <c r="S5" s="107"/>
      <c r="T5" s="108"/>
    </row>
    <row r="6" spans="1:20" x14ac:dyDescent="0.25">
      <c r="A6" s="13" t="s">
        <v>1</v>
      </c>
      <c r="B6" s="3">
        <f t="shared" ref="B6:B25" si="0">C6-$C$5</f>
        <v>1</v>
      </c>
      <c r="C6" s="115">
        <v>41803</v>
      </c>
      <c r="D6" s="4">
        <v>41803.458333333336</v>
      </c>
      <c r="E6" s="4">
        <v>41803.729166666664</v>
      </c>
      <c r="F6" s="4"/>
      <c r="G6" s="3">
        <v>606</v>
      </c>
      <c r="H6" s="14">
        <f>D6-E5</f>
        <v>0.69444444444525288</v>
      </c>
      <c r="I6" s="5">
        <f>16*60+(40)</f>
        <v>1000</v>
      </c>
      <c r="J6" s="109">
        <f>G6/I6</f>
        <v>0.60599999999999998</v>
      </c>
      <c r="L6" s="3">
        <f t="shared" ref="L6:L24" si="1">M6-$C$5</f>
        <v>1</v>
      </c>
      <c r="M6" s="115">
        <v>41803</v>
      </c>
      <c r="N6" s="4">
        <v>41803.458333333336</v>
      </c>
      <c r="O6" s="4">
        <v>41803.729166666664</v>
      </c>
      <c r="P6" s="4"/>
      <c r="Q6" s="3">
        <v>583</v>
      </c>
      <c r="R6" s="14">
        <f>N6-O5</f>
        <v>0.69444444444525288</v>
      </c>
      <c r="S6" s="5">
        <f>16*60+(40)</f>
        <v>1000</v>
      </c>
      <c r="T6" s="109">
        <f>Q6/S6</f>
        <v>0.58299999999999996</v>
      </c>
    </row>
    <row r="7" spans="1:20" x14ac:dyDescent="0.25">
      <c r="A7" s="13" t="s">
        <v>2</v>
      </c>
      <c r="B7" s="3">
        <f t="shared" si="0"/>
        <v>2</v>
      </c>
      <c r="C7" s="115">
        <v>41804</v>
      </c>
      <c r="D7" s="4">
        <v>41804.5</v>
      </c>
      <c r="E7" s="4">
        <v>41804.583333333336</v>
      </c>
      <c r="F7" s="4"/>
      <c r="G7" s="3">
        <v>657</v>
      </c>
      <c r="H7" s="14">
        <f>D7-E6</f>
        <v>0.77083333333575865</v>
      </c>
      <c r="I7" s="5">
        <f>18*60+30</f>
        <v>1110</v>
      </c>
      <c r="J7" s="109">
        <f>G7/I7</f>
        <v>0.59189189189189184</v>
      </c>
      <c r="L7" s="3">
        <f t="shared" si="1"/>
        <v>2</v>
      </c>
      <c r="M7" s="115">
        <v>41804</v>
      </c>
      <c r="N7" s="4">
        <v>41804.5</v>
      </c>
      <c r="O7" s="4">
        <v>41804.583333333336</v>
      </c>
      <c r="P7" s="4"/>
      <c r="Q7" s="3">
        <v>622</v>
      </c>
      <c r="R7" s="14">
        <f>N7-O6</f>
        <v>0.77083333333575865</v>
      </c>
      <c r="S7" s="5">
        <f>18*60+30</f>
        <v>1110</v>
      </c>
      <c r="T7" s="109">
        <f>Q7/S7</f>
        <v>0.56036036036036041</v>
      </c>
    </row>
    <row r="8" spans="1:20" x14ac:dyDescent="0.25">
      <c r="A8" s="13" t="s">
        <v>3</v>
      </c>
      <c r="B8" s="3">
        <f t="shared" si="0"/>
        <v>3</v>
      </c>
      <c r="C8" s="115">
        <v>41805</v>
      </c>
      <c r="D8" s="6" t="s">
        <v>11</v>
      </c>
      <c r="E8" s="6" t="s">
        <v>11</v>
      </c>
      <c r="F8" s="6"/>
      <c r="G8" s="3"/>
      <c r="H8" s="3"/>
      <c r="I8" s="3"/>
      <c r="J8" s="110"/>
      <c r="L8" s="3">
        <f t="shared" si="1"/>
        <v>3</v>
      </c>
      <c r="M8" s="115">
        <v>41805</v>
      </c>
      <c r="N8" s="6" t="s">
        <v>11</v>
      </c>
      <c r="O8" s="6" t="s">
        <v>11</v>
      </c>
      <c r="P8" s="6"/>
      <c r="Q8" s="3"/>
      <c r="R8" s="3"/>
      <c r="S8" s="3"/>
      <c r="T8" s="110"/>
    </row>
    <row r="9" spans="1:20" x14ac:dyDescent="0.25">
      <c r="A9" s="13" t="s">
        <v>4</v>
      </c>
      <c r="B9" s="3">
        <f t="shared" si="0"/>
        <v>4</v>
      </c>
      <c r="C9" s="115">
        <v>41806</v>
      </c>
      <c r="D9" s="4">
        <v>41806.604166666664</v>
      </c>
      <c r="E9" s="4">
        <v>41806.645833333336</v>
      </c>
      <c r="F9" s="4"/>
      <c r="G9" s="3">
        <v>1265</v>
      </c>
      <c r="H9" s="14">
        <f>D9-E7</f>
        <v>2.0208333333284827</v>
      </c>
      <c r="I9" s="3">
        <f>48*60+30</f>
        <v>2910</v>
      </c>
      <c r="J9" s="109">
        <f>G9/I9</f>
        <v>0.43470790378006874</v>
      </c>
      <c r="L9" s="3">
        <f t="shared" si="1"/>
        <v>4</v>
      </c>
      <c r="M9" s="115">
        <v>41806</v>
      </c>
      <c r="N9" s="4">
        <v>41806.604166666664</v>
      </c>
      <c r="O9" s="4">
        <v>41806.645833333336</v>
      </c>
      <c r="P9" s="4"/>
      <c r="Q9" s="3">
        <v>1126</v>
      </c>
      <c r="R9" s="14">
        <f>N9-O7</f>
        <v>2.0208333333284827</v>
      </c>
      <c r="S9" s="3">
        <f>48*60+30</f>
        <v>2910</v>
      </c>
      <c r="T9" s="109">
        <f>Q9/S9</f>
        <v>0.38694158075601376</v>
      </c>
    </row>
    <row r="10" spans="1:20" x14ac:dyDescent="0.25">
      <c r="A10" s="13" t="s">
        <v>5</v>
      </c>
      <c r="B10" s="3">
        <f t="shared" si="0"/>
        <v>5</v>
      </c>
      <c r="C10" s="115">
        <v>41807</v>
      </c>
      <c r="D10" s="4">
        <v>41807.753472222219</v>
      </c>
      <c r="E10" s="4">
        <v>41807.770833333336</v>
      </c>
      <c r="F10" s="4"/>
      <c r="G10" s="3"/>
      <c r="H10" s="3"/>
      <c r="I10" s="3"/>
      <c r="J10" s="110"/>
      <c r="L10" s="3">
        <f t="shared" si="1"/>
        <v>5</v>
      </c>
      <c r="M10" s="115">
        <v>41807</v>
      </c>
      <c r="N10" s="4">
        <v>41807.753472222219</v>
      </c>
      <c r="O10" s="4">
        <v>41807.770833333336</v>
      </c>
      <c r="P10" s="4"/>
      <c r="Q10" s="3"/>
      <c r="R10" s="3"/>
      <c r="S10" s="3"/>
      <c r="T10" s="110"/>
    </row>
    <row r="11" spans="1:20" x14ac:dyDescent="0.25">
      <c r="A11" s="13" t="s">
        <v>6</v>
      </c>
      <c r="B11" s="3">
        <f t="shared" si="0"/>
        <v>6</v>
      </c>
      <c r="C11" s="115">
        <v>41808</v>
      </c>
      <c r="D11" s="4">
        <v>41808.375</v>
      </c>
      <c r="E11" s="4">
        <v>41808.416666666664</v>
      </c>
      <c r="F11" s="4"/>
      <c r="G11" s="3">
        <v>376</v>
      </c>
      <c r="H11" s="14">
        <f t="shared" ref="H11:H18" si="2">D11-E10</f>
        <v>0.60416666666424135</v>
      </c>
      <c r="I11" s="3">
        <f>14*60+30</f>
        <v>870</v>
      </c>
      <c r="J11" s="109">
        <f t="shared" ref="J11:J18" si="3">G11/I11</f>
        <v>0.43218390804597701</v>
      </c>
      <c r="L11" s="3">
        <f t="shared" si="1"/>
        <v>6</v>
      </c>
      <c r="M11" s="115">
        <v>41808</v>
      </c>
      <c r="N11" s="4">
        <v>41808.375</v>
      </c>
      <c r="O11" s="4">
        <v>41808.416666666664</v>
      </c>
      <c r="P11" s="4"/>
      <c r="Q11" s="3">
        <v>380</v>
      </c>
      <c r="R11" s="14">
        <f t="shared" ref="R11:R18" si="4">N11-O10</f>
        <v>0.60416666666424135</v>
      </c>
      <c r="S11" s="3">
        <f>14*60+30</f>
        <v>870</v>
      </c>
      <c r="T11" s="109">
        <f t="shared" ref="T11:T18" si="5">Q11/S11</f>
        <v>0.43678160919540232</v>
      </c>
    </row>
    <row r="12" spans="1:20" x14ac:dyDescent="0.25">
      <c r="A12" s="13" t="s">
        <v>7</v>
      </c>
      <c r="B12" s="3">
        <f t="shared" si="0"/>
        <v>7</v>
      </c>
      <c r="C12" s="115">
        <v>41809</v>
      </c>
      <c r="D12" s="4">
        <v>41809.416666666664</v>
      </c>
      <c r="E12" s="4">
        <v>41809.722222222219</v>
      </c>
      <c r="F12" s="4"/>
      <c r="G12" s="3">
        <v>617</v>
      </c>
      <c r="H12" s="14">
        <f t="shared" si="2"/>
        <v>1</v>
      </c>
      <c r="I12" s="3">
        <f>24*60</f>
        <v>1440</v>
      </c>
      <c r="J12" s="109">
        <f t="shared" si="3"/>
        <v>0.4284722222222222</v>
      </c>
      <c r="L12" s="3">
        <f t="shared" si="1"/>
        <v>7</v>
      </c>
      <c r="M12" s="115">
        <v>41809</v>
      </c>
      <c r="N12" s="4">
        <v>41809.416666666664</v>
      </c>
      <c r="O12" s="4">
        <v>41809.722222222219</v>
      </c>
      <c r="P12" s="4"/>
      <c r="Q12" s="3">
        <v>627</v>
      </c>
      <c r="R12" s="14">
        <f t="shared" si="4"/>
        <v>1</v>
      </c>
      <c r="S12" s="3">
        <f>24*60</f>
        <v>1440</v>
      </c>
      <c r="T12" s="109">
        <f t="shared" si="5"/>
        <v>0.43541666666666667</v>
      </c>
    </row>
    <row r="13" spans="1:20" x14ac:dyDescent="0.25">
      <c r="A13" s="13" t="s">
        <v>1</v>
      </c>
      <c r="B13" s="3">
        <f t="shared" si="0"/>
        <v>8</v>
      </c>
      <c r="C13" s="115">
        <v>41810</v>
      </c>
      <c r="D13" s="4">
        <v>41810.618055555555</v>
      </c>
      <c r="E13" s="4">
        <v>41810.632638888892</v>
      </c>
      <c r="F13" s="4"/>
      <c r="G13" s="3">
        <f>1542-1013</f>
        <v>529</v>
      </c>
      <c r="H13" s="14">
        <f t="shared" si="2"/>
        <v>0.89583333333575865</v>
      </c>
      <c r="I13" s="3">
        <f>21*60+30</f>
        <v>1290</v>
      </c>
      <c r="J13" s="109">
        <f t="shared" si="3"/>
        <v>0.41007751937984493</v>
      </c>
      <c r="L13" s="3">
        <f t="shared" si="1"/>
        <v>8</v>
      </c>
      <c r="M13" s="115">
        <v>41810</v>
      </c>
      <c r="N13" s="4">
        <v>41810.618055555555</v>
      </c>
      <c r="O13" s="4">
        <v>41810.632638888892</v>
      </c>
      <c r="P13" s="4"/>
      <c r="Q13" s="3">
        <f>1579-1008</f>
        <v>571</v>
      </c>
      <c r="R13" s="14">
        <f t="shared" si="4"/>
        <v>0.89583333333575865</v>
      </c>
      <c r="S13" s="3">
        <f>21*60+30</f>
        <v>1290</v>
      </c>
      <c r="T13" s="109">
        <f t="shared" si="5"/>
        <v>0.44263565891472867</v>
      </c>
    </row>
    <row r="14" spans="1:20" x14ac:dyDescent="0.25">
      <c r="A14" s="13" t="s">
        <v>4</v>
      </c>
      <c r="B14" s="3">
        <f t="shared" si="0"/>
        <v>11</v>
      </c>
      <c r="C14" s="115">
        <v>41813</v>
      </c>
      <c r="D14" s="4">
        <v>41813.625</v>
      </c>
      <c r="E14" s="4">
        <v>41813.680555555555</v>
      </c>
      <c r="F14" s="3">
        <v>2797</v>
      </c>
      <c r="G14" s="3">
        <f>F14-$E$1</f>
        <v>1784</v>
      </c>
      <c r="H14" s="14">
        <f t="shared" si="2"/>
        <v>2.992361111108039</v>
      </c>
      <c r="I14" s="3">
        <f>71*60+49</f>
        <v>4309</v>
      </c>
      <c r="J14" s="109">
        <f t="shared" si="3"/>
        <v>0.41401717335808774</v>
      </c>
      <c r="L14" s="3">
        <f t="shared" si="1"/>
        <v>11</v>
      </c>
      <c r="M14" s="115">
        <v>41813</v>
      </c>
      <c r="N14" s="4">
        <v>41813.625</v>
      </c>
      <c r="O14" s="4">
        <v>41812.680555555555</v>
      </c>
      <c r="P14" s="3">
        <v>2653</v>
      </c>
      <c r="Q14" s="3">
        <f>P14-$P$1</f>
        <v>1645</v>
      </c>
      <c r="R14" s="14">
        <f t="shared" si="4"/>
        <v>2.992361111108039</v>
      </c>
      <c r="S14" s="3">
        <f>71*60+49</f>
        <v>4309</v>
      </c>
      <c r="T14" s="109">
        <f t="shared" si="5"/>
        <v>0.38175910884195868</v>
      </c>
    </row>
    <row r="15" spans="1:20" x14ac:dyDescent="0.25">
      <c r="A15" s="13" t="s">
        <v>5</v>
      </c>
      <c r="B15" s="3">
        <f t="shared" si="0"/>
        <v>12</v>
      </c>
      <c r="C15" s="115">
        <v>41814</v>
      </c>
      <c r="D15" s="4">
        <v>41814.722222222219</v>
      </c>
      <c r="E15" s="4">
        <v>41814.743055555555</v>
      </c>
      <c r="F15" s="3">
        <v>1622</v>
      </c>
      <c r="G15" s="3">
        <f t="shared" ref="G15:G17" si="6">F15-$E$1</f>
        <v>609</v>
      </c>
      <c r="H15" s="14">
        <f t="shared" si="2"/>
        <v>1.0416666666642413</v>
      </c>
      <c r="I15" s="3">
        <f>25*60</f>
        <v>1500</v>
      </c>
      <c r="J15" s="109">
        <f t="shared" si="3"/>
        <v>0.40600000000000003</v>
      </c>
      <c r="L15" s="3">
        <f t="shared" si="1"/>
        <v>12</v>
      </c>
      <c r="M15" s="115">
        <v>41814</v>
      </c>
      <c r="N15" s="4">
        <v>41814.722222222219</v>
      </c>
      <c r="O15" s="4">
        <v>41814.743055555555</v>
      </c>
      <c r="P15" s="3">
        <v>1659</v>
      </c>
      <c r="Q15" s="3">
        <f t="shared" ref="Q15:Q16" si="7">P15-$P$1</f>
        <v>651</v>
      </c>
      <c r="R15" s="14">
        <f t="shared" si="4"/>
        <v>2.0416666666642413</v>
      </c>
      <c r="S15" s="3">
        <f>25*60</f>
        <v>1500</v>
      </c>
      <c r="T15" s="109">
        <f t="shared" si="5"/>
        <v>0.434</v>
      </c>
    </row>
    <row r="16" spans="1:20" x14ac:dyDescent="0.25">
      <c r="A16" s="13" t="s">
        <v>6</v>
      </c>
      <c r="B16" s="3">
        <f t="shared" si="0"/>
        <v>13</v>
      </c>
      <c r="C16" s="115">
        <v>41815</v>
      </c>
      <c r="D16" s="4">
        <v>41815.71875</v>
      </c>
      <c r="E16" s="4">
        <v>41815.770833333336</v>
      </c>
      <c r="F16" s="3">
        <v>1615</v>
      </c>
      <c r="G16" s="3">
        <f t="shared" si="6"/>
        <v>602</v>
      </c>
      <c r="H16" s="14">
        <f t="shared" si="2"/>
        <v>0.97569444444525288</v>
      </c>
      <c r="I16" s="3">
        <f>23*60+25</f>
        <v>1405</v>
      </c>
      <c r="J16" s="109">
        <f t="shared" si="3"/>
        <v>0.4284697508896797</v>
      </c>
      <c r="L16" s="3">
        <f t="shared" si="1"/>
        <v>13</v>
      </c>
      <c r="M16" s="115">
        <v>41815</v>
      </c>
      <c r="N16" s="4">
        <v>41815.71875</v>
      </c>
      <c r="O16" s="4">
        <v>41815.770833333336</v>
      </c>
      <c r="P16" s="3">
        <v>1562</v>
      </c>
      <c r="Q16" s="3">
        <f t="shared" si="7"/>
        <v>554</v>
      </c>
      <c r="R16" s="14">
        <f t="shared" si="4"/>
        <v>0.97569444444525288</v>
      </c>
      <c r="S16" s="3">
        <f>23*60+25</f>
        <v>1405</v>
      </c>
      <c r="T16" s="109">
        <f t="shared" si="5"/>
        <v>0.39430604982206408</v>
      </c>
    </row>
    <row r="17" spans="1:20" x14ac:dyDescent="0.25">
      <c r="A17" s="13" t="s">
        <v>7</v>
      </c>
      <c r="B17" s="3">
        <f t="shared" si="0"/>
        <v>14</v>
      </c>
      <c r="C17" s="115">
        <v>41816</v>
      </c>
      <c r="D17" s="4">
        <v>41816.75</v>
      </c>
      <c r="E17" s="4">
        <v>41816.791666666664</v>
      </c>
      <c r="F17" s="3">
        <v>1617</v>
      </c>
      <c r="G17" s="3">
        <f t="shared" si="6"/>
        <v>604</v>
      </c>
      <c r="H17" s="14">
        <f t="shared" si="2"/>
        <v>0.97916666666424135</v>
      </c>
      <c r="I17" s="3">
        <f>23*60+30</f>
        <v>1410</v>
      </c>
      <c r="J17" s="109">
        <f t="shared" si="3"/>
        <v>0.42836879432624114</v>
      </c>
      <c r="L17" s="3">
        <f t="shared" si="1"/>
        <v>14</v>
      </c>
      <c r="M17" s="115">
        <v>41816</v>
      </c>
      <c r="N17" s="4">
        <v>41816.75</v>
      </c>
      <c r="O17" s="4">
        <v>41816.791666666664</v>
      </c>
      <c r="P17" s="3">
        <v>1622</v>
      </c>
      <c r="Q17" s="3">
        <f>P17-$P$1</f>
        <v>614</v>
      </c>
      <c r="R17" s="14">
        <f t="shared" si="4"/>
        <v>0.97916666666424135</v>
      </c>
      <c r="S17" s="3">
        <f>23*60+30</f>
        <v>1410</v>
      </c>
      <c r="T17" s="109">
        <f t="shared" si="5"/>
        <v>0.43546099290780144</v>
      </c>
    </row>
    <row r="18" spans="1:20" x14ac:dyDescent="0.25">
      <c r="A18" s="13" t="s">
        <v>1</v>
      </c>
      <c r="B18" s="3">
        <f t="shared" si="0"/>
        <v>15</v>
      </c>
      <c r="C18" s="115">
        <v>41817</v>
      </c>
      <c r="D18" s="4">
        <v>41817.729166666664</v>
      </c>
      <c r="E18" s="4">
        <v>41817.770833333336</v>
      </c>
      <c r="F18" s="3">
        <v>1579</v>
      </c>
      <c r="G18" s="3">
        <f>F18-$E$1</f>
        <v>566</v>
      </c>
      <c r="H18" s="14">
        <f t="shared" si="2"/>
        <v>0.9375</v>
      </c>
      <c r="I18" s="3">
        <f>22*60+30</f>
        <v>1350</v>
      </c>
      <c r="J18" s="109">
        <f t="shared" si="3"/>
        <v>0.41925925925925928</v>
      </c>
      <c r="L18" s="3">
        <f t="shared" si="1"/>
        <v>15</v>
      </c>
      <c r="M18" s="115">
        <v>41817</v>
      </c>
      <c r="N18" s="4">
        <v>41817.729166666664</v>
      </c>
      <c r="O18" s="4">
        <v>41817.770833333336</v>
      </c>
      <c r="P18" s="3">
        <v>1586</v>
      </c>
      <c r="Q18" s="3">
        <f>P18-$P$1</f>
        <v>578</v>
      </c>
      <c r="R18" s="14">
        <f t="shared" si="4"/>
        <v>0.9375</v>
      </c>
      <c r="S18" s="3">
        <f>22*60+30</f>
        <v>1350</v>
      </c>
      <c r="T18" s="109">
        <f t="shared" si="5"/>
        <v>0.42814814814814817</v>
      </c>
    </row>
    <row r="19" spans="1:20" x14ac:dyDescent="0.25">
      <c r="A19" s="13" t="s">
        <v>4</v>
      </c>
      <c r="B19" s="3">
        <f t="shared" si="0"/>
        <v>18</v>
      </c>
      <c r="C19" s="115">
        <v>41820</v>
      </c>
      <c r="D19" s="4">
        <v>41820.395833333336</v>
      </c>
      <c r="E19" s="4">
        <v>41820.770833333336</v>
      </c>
      <c r="F19" s="3">
        <v>2618</v>
      </c>
      <c r="G19" s="3">
        <f>F19-$E$1</f>
        <v>1605</v>
      </c>
      <c r="H19" s="14">
        <f>D19-E18</f>
        <v>2.625</v>
      </c>
      <c r="I19" s="3">
        <f>60*63</f>
        <v>3780</v>
      </c>
      <c r="J19" s="109">
        <f>G19/I19</f>
        <v>0.42460317460317459</v>
      </c>
      <c r="L19" s="3">
        <f t="shared" si="1"/>
        <v>18</v>
      </c>
      <c r="M19" s="115">
        <v>41820</v>
      </c>
      <c r="N19" s="4">
        <v>41820.395833333336</v>
      </c>
      <c r="O19" s="4">
        <v>41820.770833333336</v>
      </c>
      <c r="P19" s="3">
        <v>2754</v>
      </c>
      <c r="Q19" s="3">
        <f>P19-$P$1</f>
        <v>1746</v>
      </c>
      <c r="R19" s="14">
        <f t="shared" ref="R19" si="8">N19-O18</f>
        <v>2.625</v>
      </c>
      <c r="S19" s="3">
        <f>63*60</f>
        <v>3780</v>
      </c>
      <c r="T19" s="109">
        <f t="shared" ref="T19:T23" si="9">Q19/S19</f>
        <v>0.46190476190476193</v>
      </c>
    </row>
    <row r="20" spans="1:20" x14ac:dyDescent="0.25">
      <c r="A20" s="13" t="s">
        <v>5</v>
      </c>
      <c r="B20" s="3">
        <f t="shared" si="0"/>
        <v>19</v>
      </c>
      <c r="C20" s="115">
        <v>41821</v>
      </c>
      <c r="D20" s="4">
        <v>41821.729166666664</v>
      </c>
      <c r="E20" s="4">
        <v>41821.756944444445</v>
      </c>
      <c r="F20" s="3">
        <v>1609</v>
      </c>
      <c r="G20" s="105">
        <f>F20-$E$1</f>
        <v>596</v>
      </c>
      <c r="H20" s="14">
        <f>D20-E19</f>
        <v>0.95833333332848269</v>
      </c>
      <c r="I20" s="3">
        <f>23*60</f>
        <v>1380</v>
      </c>
      <c r="J20" s="109">
        <f>G20/I20</f>
        <v>0.43188405797101448</v>
      </c>
      <c r="L20" s="3">
        <f t="shared" si="1"/>
        <v>19</v>
      </c>
      <c r="M20" s="115">
        <v>41821</v>
      </c>
      <c r="N20" s="4">
        <v>41821.729166666664</v>
      </c>
      <c r="O20" s="4">
        <v>41821.756944444445</v>
      </c>
      <c r="P20" s="3">
        <v>1614</v>
      </c>
      <c r="Q20" s="105">
        <f>P20-$P$1</f>
        <v>606</v>
      </c>
      <c r="R20" s="14">
        <f>N20-O19</f>
        <v>0.95833333332848269</v>
      </c>
      <c r="S20" s="3">
        <f>23*60</f>
        <v>1380</v>
      </c>
      <c r="T20" s="109">
        <f t="shared" si="9"/>
        <v>0.43913043478260871</v>
      </c>
    </row>
    <row r="21" spans="1:20" x14ac:dyDescent="0.25">
      <c r="A21" s="13" t="s">
        <v>6</v>
      </c>
      <c r="B21" s="3">
        <f t="shared" si="0"/>
        <v>20</v>
      </c>
      <c r="C21" s="115">
        <v>41822</v>
      </c>
      <c r="D21" s="4">
        <v>41822.423611111109</v>
      </c>
      <c r="E21" s="4">
        <v>41822.805555555555</v>
      </c>
      <c r="F21" s="4"/>
      <c r="G21" s="105">
        <f>924-514</f>
        <v>410</v>
      </c>
      <c r="H21" s="14">
        <f>D21-E20</f>
        <v>0.66666666666424135</v>
      </c>
      <c r="I21" s="3">
        <f>16*60</f>
        <v>960</v>
      </c>
      <c r="J21" s="109">
        <f>G21/I21</f>
        <v>0.42708333333333331</v>
      </c>
      <c r="L21" s="3">
        <f t="shared" si="1"/>
        <v>20</v>
      </c>
      <c r="M21" s="115">
        <v>41822</v>
      </c>
      <c r="N21" s="4">
        <v>41822.423611111109</v>
      </c>
      <c r="O21" s="4">
        <v>41822.805555555555</v>
      </c>
      <c r="P21" s="4"/>
      <c r="Q21" s="105">
        <f>970-556</f>
        <v>414</v>
      </c>
      <c r="R21" s="14">
        <f>N21-O20</f>
        <v>0.66666666666424135</v>
      </c>
      <c r="S21" s="3">
        <f>16*60</f>
        <v>960</v>
      </c>
      <c r="T21" s="109">
        <f t="shared" si="9"/>
        <v>0.43125000000000002</v>
      </c>
    </row>
    <row r="22" spans="1:20" x14ac:dyDescent="0.25">
      <c r="A22" s="13" t="s">
        <v>7</v>
      </c>
      <c r="B22" s="3">
        <f t="shared" si="0"/>
        <v>21</v>
      </c>
      <c r="C22" s="115">
        <v>41823</v>
      </c>
      <c r="D22" s="4">
        <v>41823.711805555555</v>
      </c>
      <c r="E22" s="4">
        <v>41823.722222222219</v>
      </c>
      <c r="F22" s="4"/>
      <c r="G22" s="105">
        <f>1075-514</f>
        <v>561</v>
      </c>
      <c r="H22" s="14">
        <f>D22-E21</f>
        <v>0.90625</v>
      </c>
      <c r="I22" s="3">
        <f>21*60+45</f>
        <v>1305</v>
      </c>
      <c r="J22" s="109">
        <f>G22/I22</f>
        <v>0.42988505747126438</v>
      </c>
      <c r="L22" s="3">
        <f t="shared" si="1"/>
        <v>21</v>
      </c>
      <c r="M22" s="115">
        <v>41823</v>
      </c>
      <c r="N22" s="4">
        <v>41823.711805555555</v>
      </c>
      <c r="O22" s="4">
        <v>41823.722222222219</v>
      </c>
      <c r="P22" s="4"/>
      <c r="Q22" s="105">
        <f>1120-556</f>
        <v>564</v>
      </c>
      <c r="R22" s="14">
        <f>N22-O21</f>
        <v>0.90625</v>
      </c>
      <c r="S22" s="3">
        <f>21*60+45</f>
        <v>1305</v>
      </c>
      <c r="T22" s="109">
        <f t="shared" si="9"/>
        <v>0.43218390804597701</v>
      </c>
    </row>
    <row r="23" spans="1:20" x14ac:dyDescent="0.25">
      <c r="A23" s="13" t="s">
        <v>1</v>
      </c>
      <c r="B23" s="3">
        <f t="shared" si="0"/>
        <v>35</v>
      </c>
      <c r="C23" s="115">
        <v>41837</v>
      </c>
      <c r="D23" s="4">
        <v>41837.722222164353</v>
      </c>
      <c r="E23" s="4">
        <v>41837.722222164353</v>
      </c>
      <c r="F23" s="3"/>
      <c r="G23" s="3">
        <v>598</v>
      </c>
      <c r="H23" s="14">
        <f>D23-E22</f>
        <v>13.999999942134309</v>
      </c>
      <c r="I23" s="3">
        <f>24*60</f>
        <v>1440</v>
      </c>
      <c r="J23" s="109">
        <f t="shared" ref="J23" si="10">G23/I23</f>
        <v>0.4152777777777778</v>
      </c>
      <c r="L23" s="3">
        <f t="shared" si="1"/>
        <v>35</v>
      </c>
      <c r="M23" s="115">
        <v>41837</v>
      </c>
      <c r="N23" s="4">
        <v>41837.722222164353</v>
      </c>
      <c r="O23" s="4">
        <v>41837.722222164353</v>
      </c>
      <c r="P23" s="3"/>
      <c r="Q23" s="3">
        <v>625</v>
      </c>
      <c r="R23" s="14">
        <f>N23-O22</f>
        <v>13.999999942134309</v>
      </c>
      <c r="S23" s="3">
        <f>24*60</f>
        <v>1440</v>
      </c>
      <c r="T23" s="109">
        <f t="shared" si="9"/>
        <v>0.43402777777777779</v>
      </c>
    </row>
    <row r="24" spans="1:20" ht="15.75" thickBot="1" x14ac:dyDescent="0.3">
      <c r="A24" s="11"/>
      <c r="B24" s="3">
        <f t="shared" si="0"/>
        <v>46</v>
      </c>
      <c r="C24" s="115">
        <v>41848</v>
      </c>
      <c r="D24" s="111">
        <v>41848.722222222219</v>
      </c>
      <c r="E24" s="111"/>
      <c r="F24" s="111"/>
      <c r="G24" s="112"/>
      <c r="H24" s="113"/>
      <c r="I24" s="112"/>
      <c r="J24" s="114">
        <v>0.43</v>
      </c>
      <c r="L24" s="3">
        <f t="shared" si="1"/>
        <v>46</v>
      </c>
      <c r="M24" s="115">
        <v>41848</v>
      </c>
      <c r="N24" s="111">
        <v>41848.722222222219</v>
      </c>
      <c r="O24" s="111"/>
      <c r="P24" s="111"/>
      <c r="Q24" s="112"/>
      <c r="R24" s="113"/>
      <c r="S24" s="112"/>
      <c r="T24" s="114">
        <v>0.43</v>
      </c>
    </row>
    <row r="25" spans="1:20" ht="15.75" thickBot="1" x14ac:dyDescent="0.3">
      <c r="A25" s="15"/>
      <c r="B25" s="3">
        <f t="shared" si="0"/>
        <v>49</v>
      </c>
      <c r="C25" s="115">
        <v>41851</v>
      </c>
      <c r="D25" s="17"/>
      <c r="E25" s="17"/>
      <c r="F25" s="17"/>
      <c r="G25" s="15"/>
      <c r="H25" s="18"/>
      <c r="I25" s="15"/>
      <c r="J25" s="19"/>
      <c r="M25" s="16"/>
      <c r="N25" s="17"/>
      <c r="O25" s="17"/>
      <c r="P25" s="17"/>
      <c r="Q25" s="15"/>
      <c r="R25" s="18"/>
      <c r="S25" s="15"/>
      <c r="T25" s="19"/>
    </row>
    <row r="26" spans="1:20" ht="19.5" thickBot="1" x14ac:dyDescent="0.35">
      <c r="A26" s="15"/>
      <c r="B26" s="15"/>
      <c r="C26" s="16"/>
      <c r="D26" s="17"/>
      <c r="E26" s="17"/>
      <c r="F26" s="17"/>
      <c r="G26" s="15"/>
      <c r="H26" s="117" t="s">
        <v>88</v>
      </c>
      <c r="I26" s="15"/>
      <c r="J26" s="116">
        <f>AVERAGE(J9:J23)</f>
        <v>0.42359213802985324</v>
      </c>
      <c r="M26" s="16"/>
      <c r="N26" s="17"/>
      <c r="O26" s="17"/>
      <c r="P26" s="17"/>
      <c r="Q26" s="15"/>
      <c r="R26" s="117" t="s">
        <v>89</v>
      </c>
      <c r="S26" s="15"/>
      <c r="T26" s="116">
        <f>AVERAGE(T9:T23)</f>
        <v>0.42671047841170784</v>
      </c>
    </row>
    <row r="27" spans="1:20" x14ac:dyDescent="0.25">
      <c r="A27" s="15"/>
      <c r="B27" s="15"/>
      <c r="C27" s="16"/>
      <c r="D27" s="15"/>
      <c r="E27" s="15"/>
      <c r="F27" s="15"/>
      <c r="G27" s="15"/>
      <c r="H27" s="15"/>
      <c r="I27" s="15"/>
      <c r="J27" s="15"/>
      <c r="M27" s="16"/>
      <c r="N27" s="15"/>
      <c r="O27" s="15"/>
      <c r="P27" s="15"/>
      <c r="Q27" s="15"/>
      <c r="R27" s="15"/>
      <c r="S27" s="15"/>
      <c r="T27" s="15"/>
    </row>
    <row r="28" spans="1:20" ht="15.75" thickBot="1" x14ac:dyDescent="0.3">
      <c r="D28" t="s">
        <v>27</v>
      </c>
      <c r="E28">
        <v>995</v>
      </c>
      <c r="N28" t="s">
        <v>28</v>
      </c>
      <c r="O28">
        <v>1005</v>
      </c>
    </row>
    <row r="29" spans="1:20" ht="19.5" thickBot="1" x14ac:dyDescent="0.35">
      <c r="D29" s="178" t="s">
        <v>20</v>
      </c>
      <c r="E29" s="179"/>
      <c r="F29" s="179"/>
      <c r="G29" s="179"/>
      <c r="H29" s="179"/>
      <c r="I29" s="179"/>
      <c r="J29" s="180"/>
      <c r="N29" s="178" t="s">
        <v>21</v>
      </c>
      <c r="O29" s="179"/>
      <c r="P29" s="179"/>
      <c r="Q29" s="179"/>
      <c r="R29" s="179"/>
      <c r="S29" s="179"/>
      <c r="T29" s="180"/>
    </row>
    <row r="30" spans="1:20" x14ac:dyDescent="0.25">
      <c r="D30" s="7" t="s">
        <v>12</v>
      </c>
      <c r="E30" s="8" t="s">
        <v>13</v>
      </c>
      <c r="F30" s="8"/>
      <c r="G30" s="9" t="s">
        <v>8</v>
      </c>
      <c r="H30" s="9" t="s">
        <v>9</v>
      </c>
      <c r="I30" s="9" t="s">
        <v>9</v>
      </c>
      <c r="J30" s="10" t="s">
        <v>10</v>
      </c>
      <c r="N30" s="7" t="s">
        <v>12</v>
      </c>
      <c r="O30" s="8" t="s">
        <v>13</v>
      </c>
      <c r="P30" s="8"/>
      <c r="Q30" s="9" t="s">
        <v>8</v>
      </c>
      <c r="R30" s="9" t="s">
        <v>9</v>
      </c>
      <c r="S30" s="9" t="s">
        <v>9</v>
      </c>
      <c r="T30" s="10" t="s">
        <v>10</v>
      </c>
    </row>
    <row r="31" spans="1:20" ht="15.75" thickBot="1" x14ac:dyDescent="0.3">
      <c r="D31" s="101"/>
      <c r="E31" s="102"/>
      <c r="F31" s="102"/>
      <c r="G31" s="103" t="s">
        <v>14</v>
      </c>
      <c r="H31" s="103" t="s">
        <v>16</v>
      </c>
      <c r="I31" s="102" t="s">
        <v>15</v>
      </c>
      <c r="J31" s="104" t="s">
        <v>17</v>
      </c>
      <c r="N31" s="101"/>
      <c r="O31" s="102"/>
      <c r="P31" s="102"/>
      <c r="Q31" s="103" t="s">
        <v>14</v>
      </c>
      <c r="R31" s="103" t="s">
        <v>16</v>
      </c>
      <c r="S31" s="102" t="s">
        <v>15</v>
      </c>
      <c r="T31" s="104" t="s">
        <v>17</v>
      </c>
    </row>
    <row r="32" spans="1:20" x14ac:dyDescent="0.25">
      <c r="A32" s="12" t="s">
        <v>0</v>
      </c>
      <c r="B32" s="107">
        <f>C32-$C$5</f>
        <v>0</v>
      </c>
      <c r="C32" s="118">
        <v>41802</v>
      </c>
      <c r="D32" s="107"/>
      <c r="E32" s="106">
        <v>41802.763888888891</v>
      </c>
      <c r="F32" s="106"/>
      <c r="G32" s="107"/>
      <c r="H32" s="107"/>
      <c r="I32" s="107"/>
      <c r="J32" s="108"/>
      <c r="L32" s="107">
        <f>M32-$C$5</f>
        <v>0</v>
      </c>
      <c r="M32" s="118">
        <v>41802</v>
      </c>
      <c r="N32" s="107"/>
      <c r="O32" s="106">
        <v>41802.763888888891</v>
      </c>
      <c r="P32" s="106"/>
      <c r="Q32" s="107"/>
      <c r="R32" s="107"/>
      <c r="S32" s="107"/>
      <c r="T32" s="108"/>
    </row>
    <row r="33" spans="1:20" x14ac:dyDescent="0.25">
      <c r="A33" s="13" t="s">
        <v>1</v>
      </c>
      <c r="B33" s="3">
        <f t="shared" ref="B33:B51" si="11">C33-$C$5</f>
        <v>1</v>
      </c>
      <c r="C33" s="115">
        <v>41803</v>
      </c>
      <c r="D33" s="4">
        <v>41803.458333333336</v>
      </c>
      <c r="E33" s="4">
        <v>41803.729166666664</v>
      </c>
      <c r="F33" s="4"/>
      <c r="G33" s="3">
        <v>425</v>
      </c>
      <c r="H33" s="14">
        <f>D33-E32</f>
        <v>0.69444444444525288</v>
      </c>
      <c r="I33" s="5">
        <f>16*60+(40)</f>
        <v>1000</v>
      </c>
      <c r="J33" s="109">
        <f>G33/I33</f>
        <v>0.42499999999999999</v>
      </c>
      <c r="L33" s="3">
        <f t="shared" ref="L33:L51" si="12">M33-$C$5</f>
        <v>1</v>
      </c>
      <c r="M33" s="115">
        <v>41803</v>
      </c>
      <c r="N33" s="4">
        <v>41803.458333333336</v>
      </c>
      <c r="O33" s="4">
        <v>41803.729166666664</v>
      </c>
      <c r="P33" s="4"/>
      <c r="Q33" s="3">
        <v>520</v>
      </c>
      <c r="R33" s="14">
        <f>N33-O32</f>
        <v>0.69444444444525288</v>
      </c>
      <c r="S33" s="5">
        <f>16*60+(40)</f>
        <v>1000</v>
      </c>
      <c r="T33" s="109">
        <f>Q33/S33</f>
        <v>0.52</v>
      </c>
    </row>
    <row r="34" spans="1:20" x14ac:dyDescent="0.25">
      <c r="A34" s="13" t="s">
        <v>2</v>
      </c>
      <c r="B34" s="3">
        <f t="shared" si="11"/>
        <v>2</v>
      </c>
      <c r="C34" s="115">
        <v>41804</v>
      </c>
      <c r="D34" s="4">
        <v>41804.5</v>
      </c>
      <c r="E34" s="4">
        <v>41804.583333333336</v>
      </c>
      <c r="F34" s="4"/>
      <c r="G34" s="3">
        <v>607</v>
      </c>
      <c r="H34" s="14">
        <f>D34-E33</f>
        <v>0.77083333333575865</v>
      </c>
      <c r="I34" s="5">
        <f>18*60+30</f>
        <v>1110</v>
      </c>
      <c r="J34" s="109">
        <f>G34/I34</f>
        <v>0.54684684684684681</v>
      </c>
      <c r="L34" s="3">
        <f t="shared" si="12"/>
        <v>2</v>
      </c>
      <c r="M34" s="115">
        <v>41804</v>
      </c>
      <c r="N34" s="4">
        <v>41804.5</v>
      </c>
      <c r="O34" s="4">
        <v>41804.583333333336</v>
      </c>
      <c r="P34" s="4"/>
      <c r="Q34" s="3">
        <v>628</v>
      </c>
      <c r="R34" s="14">
        <f>N34-O33</f>
        <v>0.77083333333575865</v>
      </c>
      <c r="S34" s="5">
        <f>18*60+30</f>
        <v>1110</v>
      </c>
      <c r="T34" s="109">
        <f>Q34/S34</f>
        <v>0.56576576576576576</v>
      </c>
    </row>
    <row r="35" spans="1:20" x14ac:dyDescent="0.25">
      <c r="A35" s="13" t="s">
        <v>3</v>
      </c>
      <c r="B35" s="3">
        <f t="shared" si="11"/>
        <v>3</v>
      </c>
      <c r="C35" s="115">
        <v>41805</v>
      </c>
      <c r="D35" s="6" t="s">
        <v>11</v>
      </c>
      <c r="E35" s="6" t="s">
        <v>11</v>
      </c>
      <c r="F35" s="6"/>
      <c r="G35" s="3"/>
      <c r="H35" s="3"/>
      <c r="I35" s="3"/>
      <c r="J35" s="110"/>
      <c r="L35" s="3">
        <f t="shared" si="12"/>
        <v>3</v>
      </c>
      <c r="M35" s="115">
        <v>41805</v>
      </c>
      <c r="N35" s="6" t="s">
        <v>11</v>
      </c>
      <c r="O35" s="6" t="s">
        <v>11</v>
      </c>
      <c r="P35" s="6"/>
      <c r="Q35" s="3"/>
      <c r="R35" s="3"/>
      <c r="S35" s="3"/>
      <c r="T35" s="110"/>
    </row>
    <row r="36" spans="1:20" x14ac:dyDescent="0.25">
      <c r="A36" s="13" t="s">
        <v>4</v>
      </c>
      <c r="B36" s="3">
        <f t="shared" si="11"/>
        <v>4</v>
      </c>
      <c r="C36" s="115">
        <v>41806</v>
      </c>
      <c r="D36" s="4">
        <v>41806.604166666664</v>
      </c>
      <c r="E36" s="4">
        <v>41806.645833333336</v>
      </c>
      <c r="F36" s="4"/>
      <c r="G36" s="3">
        <v>1284</v>
      </c>
      <c r="H36" s="14">
        <f>D36-E34</f>
        <v>2.0208333333284827</v>
      </c>
      <c r="I36" s="3">
        <f>48*60+30</f>
        <v>2910</v>
      </c>
      <c r="J36" s="109">
        <f t="shared" ref="J36:J45" si="13">G36/I36</f>
        <v>0.44123711340206184</v>
      </c>
      <c r="L36" s="3">
        <f t="shared" si="12"/>
        <v>4</v>
      </c>
      <c r="M36" s="115">
        <v>41806</v>
      </c>
      <c r="N36" s="4">
        <v>41806.604166666664</v>
      </c>
      <c r="O36" s="4">
        <v>41806.645833333336</v>
      </c>
      <c r="P36" s="4"/>
      <c r="Q36" s="3">
        <v>1178</v>
      </c>
      <c r="R36" s="14">
        <f>N36-O34</f>
        <v>2.0208333333284827</v>
      </c>
      <c r="S36" s="3">
        <f>48*60+30</f>
        <v>2910</v>
      </c>
      <c r="T36" s="109">
        <f t="shared" ref="T36:T45" si="14">Q36/S36</f>
        <v>0.40481099656357389</v>
      </c>
    </row>
    <row r="37" spans="1:20" x14ac:dyDescent="0.25">
      <c r="A37" s="13" t="s">
        <v>5</v>
      </c>
      <c r="B37" s="3">
        <f t="shared" si="11"/>
        <v>5</v>
      </c>
      <c r="C37" s="115">
        <v>41807</v>
      </c>
      <c r="D37" s="4">
        <v>41807.753472222219</v>
      </c>
      <c r="E37" s="4">
        <v>41807.770833333336</v>
      </c>
      <c r="F37" s="4"/>
      <c r="G37" s="3">
        <v>745</v>
      </c>
      <c r="H37" s="3">
        <f t="shared" ref="H37:H45" si="15">D37-E36</f>
        <v>1.1076388888832298</v>
      </c>
      <c r="I37" s="3">
        <f>26*60+35</f>
        <v>1595</v>
      </c>
      <c r="J37" s="110">
        <f t="shared" si="13"/>
        <v>0.4670846394984326</v>
      </c>
      <c r="L37" s="3">
        <f t="shared" si="12"/>
        <v>5</v>
      </c>
      <c r="M37" s="115">
        <v>41807</v>
      </c>
      <c r="N37" s="4">
        <v>41807.753472222219</v>
      </c>
      <c r="O37" s="4">
        <v>41807.770833333336</v>
      </c>
      <c r="P37" s="4"/>
      <c r="Q37" s="3">
        <v>681</v>
      </c>
      <c r="R37" s="3">
        <f t="shared" ref="R37:R46" si="16">N37-O36</f>
        <v>1.1076388888832298</v>
      </c>
      <c r="S37" s="3">
        <f>26*60+35</f>
        <v>1595</v>
      </c>
      <c r="T37" s="110">
        <f t="shared" si="14"/>
        <v>0.42695924764890281</v>
      </c>
    </row>
    <row r="38" spans="1:20" x14ac:dyDescent="0.25">
      <c r="A38" s="13" t="s">
        <v>6</v>
      </c>
      <c r="B38" s="3">
        <f t="shared" si="11"/>
        <v>6</v>
      </c>
      <c r="C38" s="115">
        <v>41808</v>
      </c>
      <c r="D38" s="4">
        <v>41808.375</v>
      </c>
      <c r="E38" s="4">
        <v>41808.416666666664</v>
      </c>
      <c r="F38" s="4"/>
      <c r="G38" s="3">
        <v>405</v>
      </c>
      <c r="H38" s="14">
        <f t="shared" si="15"/>
        <v>0.60416666666424135</v>
      </c>
      <c r="I38" s="3">
        <f>14*60+30</f>
        <v>870</v>
      </c>
      <c r="J38" s="109">
        <f t="shared" si="13"/>
        <v>0.46551724137931033</v>
      </c>
      <c r="L38" s="3">
        <f t="shared" si="12"/>
        <v>6</v>
      </c>
      <c r="M38" s="115">
        <v>41808</v>
      </c>
      <c r="N38" s="4">
        <v>41808.375</v>
      </c>
      <c r="O38" s="4">
        <v>41808.416666666664</v>
      </c>
      <c r="P38" s="4"/>
      <c r="Q38" s="3">
        <v>373</v>
      </c>
      <c r="R38" s="14">
        <f t="shared" si="16"/>
        <v>0.60416666666424135</v>
      </c>
      <c r="S38" s="3">
        <f>14*60+30</f>
        <v>870</v>
      </c>
      <c r="T38" s="109">
        <f t="shared" si="14"/>
        <v>0.42873563218390803</v>
      </c>
    </row>
    <row r="39" spans="1:20" x14ac:dyDescent="0.25">
      <c r="A39" s="13" t="s">
        <v>7</v>
      </c>
      <c r="B39" s="3">
        <f t="shared" si="11"/>
        <v>7</v>
      </c>
      <c r="C39" s="115">
        <v>41809</v>
      </c>
      <c r="D39" s="4">
        <v>41809.416666666664</v>
      </c>
      <c r="E39" s="4">
        <v>41809.722222222219</v>
      </c>
      <c r="F39" s="4"/>
      <c r="G39" s="3">
        <v>665</v>
      </c>
      <c r="H39" s="14">
        <f t="shared" si="15"/>
        <v>1</v>
      </c>
      <c r="I39" s="3">
        <f>24*60</f>
        <v>1440</v>
      </c>
      <c r="J39" s="109">
        <f t="shared" si="13"/>
        <v>0.46180555555555558</v>
      </c>
      <c r="L39" s="3">
        <f t="shared" si="12"/>
        <v>7</v>
      </c>
      <c r="M39" s="115">
        <v>41809</v>
      </c>
      <c r="N39" s="4">
        <v>41809.416666666664</v>
      </c>
      <c r="O39" s="4">
        <v>41809.722222222219</v>
      </c>
      <c r="P39" s="4"/>
      <c r="Q39" s="3">
        <v>609</v>
      </c>
      <c r="R39" s="14">
        <f t="shared" si="16"/>
        <v>1</v>
      </c>
      <c r="S39" s="3">
        <f>24*60</f>
        <v>1440</v>
      </c>
      <c r="T39" s="109">
        <f t="shared" si="14"/>
        <v>0.42291666666666666</v>
      </c>
    </row>
    <row r="40" spans="1:20" x14ac:dyDescent="0.25">
      <c r="A40" s="13" t="s">
        <v>1</v>
      </c>
      <c r="B40" s="3">
        <f t="shared" si="11"/>
        <v>8</v>
      </c>
      <c r="C40" s="115">
        <v>41810</v>
      </c>
      <c r="D40" s="4">
        <v>41810.618055555555</v>
      </c>
      <c r="E40" s="4">
        <v>41810.632638888892</v>
      </c>
      <c r="F40" s="4"/>
      <c r="G40" s="3">
        <f>1567-995</f>
        <v>572</v>
      </c>
      <c r="H40" s="14">
        <f t="shared" si="15"/>
        <v>0.89583333333575865</v>
      </c>
      <c r="I40" s="3">
        <f>21*60+30</f>
        <v>1290</v>
      </c>
      <c r="J40" s="109">
        <f t="shared" si="13"/>
        <v>0.44341085271317832</v>
      </c>
      <c r="L40" s="3">
        <f t="shared" si="12"/>
        <v>8</v>
      </c>
      <c r="M40" s="115">
        <v>41810</v>
      </c>
      <c r="N40" s="4">
        <v>41810.618055555555</v>
      </c>
      <c r="O40" s="4">
        <v>41810.632638888892</v>
      </c>
      <c r="P40" s="4"/>
      <c r="Q40" s="3">
        <f>1545-1009</f>
        <v>536</v>
      </c>
      <c r="R40" s="14">
        <f t="shared" si="16"/>
        <v>0.89583333333575865</v>
      </c>
      <c r="S40" s="3">
        <f>21*60+30</f>
        <v>1290</v>
      </c>
      <c r="T40" s="109">
        <f t="shared" si="14"/>
        <v>0.41550387596899224</v>
      </c>
    </row>
    <row r="41" spans="1:20" x14ac:dyDescent="0.25">
      <c r="A41" s="13" t="s">
        <v>4</v>
      </c>
      <c r="B41" s="3">
        <f t="shared" si="11"/>
        <v>11</v>
      </c>
      <c r="C41" s="115">
        <v>41813</v>
      </c>
      <c r="D41" s="4">
        <v>41813.625</v>
      </c>
      <c r="E41" s="4">
        <v>41812.680555555555</v>
      </c>
      <c r="F41" s="3">
        <v>2662</v>
      </c>
      <c r="G41" s="3">
        <f>F41-$E$28</f>
        <v>1667</v>
      </c>
      <c r="H41" s="14">
        <f t="shared" si="15"/>
        <v>2.992361111108039</v>
      </c>
      <c r="I41" s="3">
        <f>71*60+49</f>
        <v>4309</v>
      </c>
      <c r="J41" s="109">
        <f t="shared" si="13"/>
        <v>0.38686470178695753</v>
      </c>
      <c r="L41" s="3">
        <f t="shared" si="12"/>
        <v>11</v>
      </c>
      <c r="M41" s="115">
        <v>41813</v>
      </c>
      <c r="N41" s="4">
        <v>41813.625</v>
      </c>
      <c r="O41" s="4">
        <v>41812.680555555555</v>
      </c>
      <c r="P41" s="3">
        <v>2851</v>
      </c>
      <c r="Q41" s="3">
        <f>P41-$O$28</f>
        <v>1846</v>
      </c>
      <c r="R41" s="14">
        <f t="shared" si="16"/>
        <v>2.992361111108039</v>
      </c>
      <c r="S41" s="3">
        <f>71*60+49</f>
        <v>4309</v>
      </c>
      <c r="T41" s="109">
        <f t="shared" si="14"/>
        <v>0.4284056625667208</v>
      </c>
    </row>
    <row r="42" spans="1:20" x14ac:dyDescent="0.25">
      <c r="A42" s="13" t="s">
        <v>5</v>
      </c>
      <c r="B42" s="3">
        <f t="shared" si="11"/>
        <v>12</v>
      </c>
      <c r="C42" s="115">
        <v>41814</v>
      </c>
      <c r="D42" s="4">
        <v>41814.722222222219</v>
      </c>
      <c r="E42" s="4">
        <v>41814.743055555555</v>
      </c>
      <c r="F42" s="3">
        <v>1654</v>
      </c>
      <c r="G42" s="3">
        <f t="shared" ref="G42:G44" si="17">F42-$E$1</f>
        <v>641</v>
      </c>
      <c r="H42" s="14">
        <f t="shared" si="15"/>
        <v>2.0416666666642413</v>
      </c>
      <c r="I42" s="3">
        <f>25*60</f>
        <v>1500</v>
      </c>
      <c r="J42" s="109">
        <f t="shared" si="13"/>
        <v>0.42733333333333334</v>
      </c>
      <c r="L42" s="3">
        <f t="shared" si="12"/>
        <v>12</v>
      </c>
      <c r="M42" s="115">
        <v>41814</v>
      </c>
      <c r="N42" s="4">
        <v>41814.722222222219</v>
      </c>
      <c r="O42" s="4">
        <v>41814.743055555555</v>
      </c>
      <c r="P42" s="3">
        <v>1679</v>
      </c>
      <c r="Q42" s="3">
        <f t="shared" ref="Q42:Q44" si="18">P42-$O$28</f>
        <v>674</v>
      </c>
      <c r="R42" s="14">
        <f t="shared" si="16"/>
        <v>2.0416666666642413</v>
      </c>
      <c r="S42" s="3">
        <f>25*60</f>
        <v>1500</v>
      </c>
      <c r="T42" s="109">
        <f t="shared" si="14"/>
        <v>0.44933333333333331</v>
      </c>
    </row>
    <row r="43" spans="1:20" x14ac:dyDescent="0.25">
      <c r="A43" s="13" t="s">
        <v>6</v>
      </c>
      <c r="B43" s="3">
        <f t="shared" si="11"/>
        <v>13</v>
      </c>
      <c r="C43" s="115">
        <v>41815</v>
      </c>
      <c r="D43" s="4">
        <v>41815.71875</v>
      </c>
      <c r="E43" s="4">
        <v>41815.770833333336</v>
      </c>
      <c r="F43" s="3">
        <v>1628</v>
      </c>
      <c r="G43" s="3">
        <f t="shared" si="17"/>
        <v>615</v>
      </c>
      <c r="H43" s="14">
        <f t="shared" si="15"/>
        <v>0.97569444444525288</v>
      </c>
      <c r="I43" s="3">
        <f>23*60+25</f>
        <v>1405</v>
      </c>
      <c r="J43" s="109">
        <f t="shared" si="13"/>
        <v>0.4377224199288256</v>
      </c>
      <c r="L43" s="3">
        <f t="shared" si="12"/>
        <v>13</v>
      </c>
      <c r="M43" s="115">
        <v>41815</v>
      </c>
      <c r="N43" s="4">
        <v>41815.71875</v>
      </c>
      <c r="O43" s="4">
        <v>41815.770833333336</v>
      </c>
      <c r="P43" s="3">
        <v>1475</v>
      </c>
      <c r="Q43" s="3">
        <f t="shared" si="18"/>
        <v>470</v>
      </c>
      <c r="R43" s="14">
        <f t="shared" si="16"/>
        <v>0.97569444444525288</v>
      </c>
      <c r="S43" s="3">
        <f>23*60+25</f>
        <v>1405</v>
      </c>
      <c r="T43" s="109"/>
    </row>
    <row r="44" spans="1:20" x14ac:dyDescent="0.25">
      <c r="A44" s="13" t="s">
        <v>7</v>
      </c>
      <c r="B44" s="3">
        <f t="shared" si="11"/>
        <v>14</v>
      </c>
      <c r="C44" s="115">
        <v>41816</v>
      </c>
      <c r="D44" s="4">
        <v>41816.75</v>
      </c>
      <c r="E44" s="4">
        <v>41816.791666666664</v>
      </c>
      <c r="F44" s="3">
        <v>1626</v>
      </c>
      <c r="G44" s="3">
        <f t="shared" si="17"/>
        <v>613</v>
      </c>
      <c r="H44" s="14">
        <f t="shared" si="15"/>
        <v>0.97916666666424135</v>
      </c>
      <c r="I44" s="3">
        <f>23*60+30</f>
        <v>1410</v>
      </c>
      <c r="J44" s="109">
        <f t="shared" si="13"/>
        <v>0.43475177304964541</v>
      </c>
      <c r="L44" s="3">
        <f t="shared" si="12"/>
        <v>14</v>
      </c>
      <c r="M44" s="115">
        <v>41816</v>
      </c>
      <c r="N44" s="4">
        <v>41816.75</v>
      </c>
      <c r="O44" s="4">
        <v>41816.791666666664</v>
      </c>
      <c r="P44" s="3">
        <v>1620</v>
      </c>
      <c r="Q44" s="3">
        <f t="shared" si="18"/>
        <v>615</v>
      </c>
      <c r="R44" s="14">
        <f t="shared" si="16"/>
        <v>0.97916666666424135</v>
      </c>
      <c r="S44" s="3">
        <f>23*60+30</f>
        <v>1410</v>
      </c>
      <c r="T44" s="109">
        <f t="shared" si="14"/>
        <v>0.43617021276595747</v>
      </c>
    </row>
    <row r="45" spans="1:20" x14ac:dyDescent="0.25">
      <c r="A45" s="13" t="s">
        <v>1</v>
      </c>
      <c r="B45" s="3">
        <f t="shared" si="11"/>
        <v>15</v>
      </c>
      <c r="C45" s="115">
        <v>41817</v>
      </c>
      <c r="D45" s="4">
        <v>41817.729166666664</v>
      </c>
      <c r="E45" s="4">
        <v>41817.770833333336</v>
      </c>
      <c r="F45" s="3">
        <v>1579</v>
      </c>
      <c r="G45" s="3">
        <f>F45-$E$28</f>
        <v>584</v>
      </c>
      <c r="H45" s="14">
        <f t="shared" si="15"/>
        <v>0.9375</v>
      </c>
      <c r="I45" s="3">
        <f>22*60+30</f>
        <v>1350</v>
      </c>
      <c r="J45" s="109">
        <f t="shared" si="13"/>
        <v>0.43259259259259258</v>
      </c>
      <c r="L45" s="3">
        <f t="shared" si="12"/>
        <v>15</v>
      </c>
      <c r="M45" s="115">
        <v>41817</v>
      </c>
      <c r="N45" s="4">
        <v>41817.729166666664</v>
      </c>
      <c r="O45" s="4">
        <v>41817.770833333336</v>
      </c>
      <c r="P45" s="3">
        <v>1613</v>
      </c>
      <c r="Q45" s="3">
        <f>P45-$O$28</f>
        <v>608</v>
      </c>
      <c r="R45" s="14">
        <f t="shared" si="16"/>
        <v>0.9375</v>
      </c>
      <c r="S45" s="3">
        <f>22*60+30</f>
        <v>1350</v>
      </c>
      <c r="T45" s="109">
        <f t="shared" si="14"/>
        <v>0.45037037037037037</v>
      </c>
    </row>
    <row r="46" spans="1:20" x14ac:dyDescent="0.25">
      <c r="A46" s="13" t="s">
        <v>4</v>
      </c>
      <c r="B46" s="3">
        <f t="shared" si="11"/>
        <v>18</v>
      </c>
      <c r="C46" s="115">
        <v>41820</v>
      </c>
      <c r="D46" s="4">
        <v>41820.395833333336</v>
      </c>
      <c r="E46" s="4">
        <v>41820.770833333336</v>
      </c>
      <c r="F46" s="3">
        <v>2543</v>
      </c>
      <c r="G46" s="3">
        <f>F46-$E$28</f>
        <v>1548</v>
      </c>
      <c r="H46" s="14">
        <f t="shared" ref="H46" si="19">D46-E45</f>
        <v>2.625</v>
      </c>
      <c r="I46" s="3">
        <f>60*63</f>
        <v>3780</v>
      </c>
      <c r="J46" s="109">
        <f t="shared" ref="J46:J50" si="20">G46/I46</f>
        <v>0.40952380952380951</v>
      </c>
      <c r="L46" s="3">
        <f t="shared" si="12"/>
        <v>18</v>
      </c>
      <c r="M46" s="115">
        <v>41820</v>
      </c>
      <c r="N46" s="4">
        <v>41820.395833333336</v>
      </c>
      <c r="O46" s="4">
        <v>41820.770833333336</v>
      </c>
      <c r="P46" s="3">
        <v>2768</v>
      </c>
      <c r="Q46" s="3">
        <f>P46-$O$28</f>
        <v>1763</v>
      </c>
      <c r="R46" s="14">
        <f t="shared" si="16"/>
        <v>2.625</v>
      </c>
      <c r="S46" s="3">
        <f>60*63</f>
        <v>3780</v>
      </c>
      <c r="T46" s="109">
        <f>Q46/S46</f>
        <v>0.46640211640211643</v>
      </c>
    </row>
    <row r="47" spans="1:20" x14ac:dyDescent="0.25">
      <c r="A47" s="13" t="s">
        <v>5</v>
      </c>
      <c r="B47" s="3">
        <f t="shared" si="11"/>
        <v>19</v>
      </c>
      <c r="C47" s="115">
        <v>41821</v>
      </c>
      <c r="D47" s="4">
        <v>41821.729166666664</v>
      </c>
      <c r="E47" s="4">
        <v>41821.756944444445</v>
      </c>
      <c r="F47" s="3">
        <v>1562</v>
      </c>
      <c r="G47" s="105">
        <f>F47-$E$28</f>
        <v>567</v>
      </c>
      <c r="H47" s="14">
        <f>D47-E46</f>
        <v>0.95833333332848269</v>
      </c>
      <c r="I47" s="3">
        <f>23*60</f>
        <v>1380</v>
      </c>
      <c r="J47" s="109">
        <f t="shared" si="20"/>
        <v>0.41086956521739132</v>
      </c>
      <c r="L47" s="3">
        <f t="shared" si="12"/>
        <v>19</v>
      </c>
      <c r="M47" s="115">
        <v>41821</v>
      </c>
      <c r="N47" s="4">
        <v>41821.729166666664</v>
      </c>
      <c r="O47" s="4">
        <v>41821.756944444445</v>
      </c>
      <c r="P47" s="3">
        <v>1580</v>
      </c>
      <c r="Q47" s="105">
        <f>P47-$O$28</f>
        <v>575</v>
      </c>
      <c r="R47" s="14">
        <f>N47-O46</f>
        <v>0.95833333332848269</v>
      </c>
      <c r="S47" s="3">
        <f>23*60</f>
        <v>1380</v>
      </c>
      <c r="T47" s="109">
        <f>Q47/S47</f>
        <v>0.41666666666666669</v>
      </c>
    </row>
    <row r="48" spans="1:20" x14ac:dyDescent="0.25">
      <c r="A48" s="13" t="s">
        <v>6</v>
      </c>
      <c r="B48" s="3">
        <f t="shared" si="11"/>
        <v>20</v>
      </c>
      <c r="C48" s="115">
        <v>41822</v>
      </c>
      <c r="D48" s="4">
        <v>41822.423611111109</v>
      </c>
      <c r="E48" s="4">
        <v>41822.805555555555</v>
      </c>
      <c r="F48" s="4"/>
      <c r="G48" s="105">
        <f>999-561</f>
        <v>438</v>
      </c>
      <c r="H48" s="14">
        <f>D48-E47</f>
        <v>0.66666666666424135</v>
      </c>
      <c r="I48" s="3">
        <f>16*60</f>
        <v>960</v>
      </c>
      <c r="J48" s="109">
        <f t="shared" si="20"/>
        <v>0.45624999999999999</v>
      </c>
      <c r="L48" s="3">
        <f t="shared" si="12"/>
        <v>20</v>
      </c>
      <c r="M48" s="115">
        <v>41822</v>
      </c>
      <c r="N48" s="4">
        <v>41822.423611111109</v>
      </c>
      <c r="O48" s="4">
        <v>41822.805555555555</v>
      </c>
      <c r="P48" s="4"/>
      <c r="Q48" s="105">
        <f>952-556</f>
        <v>396</v>
      </c>
      <c r="R48" s="14">
        <f>N48-O47</f>
        <v>0.66666666666424135</v>
      </c>
      <c r="S48" s="3">
        <f>16*60</f>
        <v>960</v>
      </c>
      <c r="T48" s="109">
        <f>Q48/S48</f>
        <v>0.41249999999999998</v>
      </c>
    </row>
    <row r="49" spans="1:20" x14ac:dyDescent="0.25">
      <c r="A49" s="13" t="s">
        <v>7</v>
      </c>
      <c r="B49" s="3">
        <f t="shared" si="11"/>
        <v>21</v>
      </c>
      <c r="C49" s="115">
        <v>41823</v>
      </c>
      <c r="D49" s="4">
        <v>41823.711805555555</v>
      </c>
      <c r="E49" s="4">
        <v>41836.722222222219</v>
      </c>
      <c r="F49" s="4"/>
      <c r="G49" s="105">
        <f>1148-561</f>
        <v>587</v>
      </c>
      <c r="H49" s="14">
        <f>D49-E48</f>
        <v>0.90625</v>
      </c>
      <c r="I49" s="3">
        <f>21*60+45</f>
        <v>1305</v>
      </c>
      <c r="J49" s="109">
        <f t="shared" si="20"/>
        <v>0.44980842911877394</v>
      </c>
      <c r="L49" s="3">
        <f t="shared" si="12"/>
        <v>21</v>
      </c>
      <c r="M49" s="115">
        <v>41823</v>
      </c>
      <c r="N49" s="4">
        <v>41823.711805555555</v>
      </c>
      <c r="O49" s="4">
        <v>41823.722222222219</v>
      </c>
      <c r="P49" s="4"/>
      <c r="Q49" s="105">
        <f>1045-556</f>
        <v>489</v>
      </c>
      <c r="R49" s="14">
        <f>N49-O48</f>
        <v>0.90625</v>
      </c>
      <c r="S49" s="3">
        <f>21*60+45</f>
        <v>1305</v>
      </c>
      <c r="T49" s="109">
        <f>Q49/S49</f>
        <v>0.37471264367816093</v>
      </c>
    </row>
    <row r="50" spans="1:20" x14ac:dyDescent="0.25">
      <c r="A50" s="13" t="s">
        <v>1</v>
      </c>
      <c r="B50" s="3">
        <f t="shared" si="11"/>
        <v>35</v>
      </c>
      <c r="C50" s="115">
        <v>41837</v>
      </c>
      <c r="D50" s="4">
        <v>41837.722222164353</v>
      </c>
      <c r="E50" s="4">
        <v>41837.722222164353</v>
      </c>
      <c r="F50" s="3"/>
      <c r="G50" s="3">
        <v>607</v>
      </c>
      <c r="H50" s="14">
        <f>D50-E49</f>
        <v>0.99999994213430909</v>
      </c>
      <c r="I50" s="3">
        <f>24*60</f>
        <v>1440</v>
      </c>
      <c r="J50" s="109">
        <f t="shared" si="20"/>
        <v>0.42152777777777778</v>
      </c>
      <c r="L50" s="3">
        <f t="shared" si="12"/>
        <v>35</v>
      </c>
      <c r="M50" s="115">
        <v>41837</v>
      </c>
      <c r="N50" s="4">
        <v>41837.722222164353</v>
      </c>
      <c r="O50" s="4">
        <v>41837.722222164353</v>
      </c>
      <c r="P50" s="3"/>
      <c r="Q50" s="3">
        <v>602</v>
      </c>
      <c r="R50" s="14">
        <f>N50-O49</f>
        <v>13.999999942134309</v>
      </c>
      <c r="S50" s="3">
        <f>24*60</f>
        <v>1440</v>
      </c>
      <c r="T50" s="109">
        <f t="shared" ref="T50" si="21">Q50/S50</f>
        <v>0.41805555555555557</v>
      </c>
    </row>
    <row r="51" spans="1:20" ht="15.75" thickBot="1" x14ac:dyDescent="0.3">
      <c r="A51" s="11"/>
      <c r="B51" s="3">
        <f t="shared" si="11"/>
        <v>46</v>
      </c>
      <c r="C51" s="115">
        <v>41848</v>
      </c>
      <c r="D51" s="111">
        <v>41848.722222222219</v>
      </c>
      <c r="E51" s="111"/>
      <c r="F51" s="111"/>
      <c r="G51" s="112"/>
      <c r="H51" s="113"/>
      <c r="I51" s="112"/>
      <c r="J51" s="114">
        <v>0.43</v>
      </c>
      <c r="L51" s="3">
        <f t="shared" si="12"/>
        <v>46</v>
      </c>
      <c r="M51" s="115">
        <v>41848</v>
      </c>
      <c r="N51" s="111">
        <v>41848.722222222219</v>
      </c>
      <c r="O51" s="111"/>
      <c r="P51" s="111"/>
      <c r="Q51" s="112"/>
      <c r="R51" s="113"/>
      <c r="S51" s="112"/>
      <c r="T51" s="114">
        <v>0.43</v>
      </c>
    </row>
    <row r="52" spans="1:20" ht="19.5" thickBot="1" x14ac:dyDescent="0.35">
      <c r="A52" s="15"/>
      <c r="B52" s="3"/>
      <c r="C52" s="115"/>
      <c r="D52" s="17"/>
      <c r="E52" s="17"/>
      <c r="F52" s="17"/>
      <c r="G52" s="15"/>
      <c r="H52" s="117" t="s">
        <v>79</v>
      </c>
      <c r="I52" s="16"/>
      <c r="J52" s="116">
        <f>AVERAGE(J36:J50)</f>
        <v>0.43641998699184303</v>
      </c>
      <c r="M52" s="16"/>
      <c r="N52" s="17"/>
      <c r="O52" s="17"/>
      <c r="P52" s="17"/>
      <c r="Q52" s="15"/>
      <c r="R52" s="117" t="s">
        <v>21</v>
      </c>
      <c r="S52" s="15"/>
      <c r="T52" s="116">
        <f>AVERAGE(T36:T50)</f>
        <v>0.42511021288363748</v>
      </c>
    </row>
    <row r="53" spans="1:20" ht="15.75" thickBot="1" x14ac:dyDescent="0.3">
      <c r="D53" t="s">
        <v>30</v>
      </c>
      <c r="E53">
        <v>995</v>
      </c>
      <c r="N53" t="s">
        <v>29</v>
      </c>
      <c r="O53">
        <v>1006</v>
      </c>
    </row>
    <row r="54" spans="1:20" ht="19.5" thickBot="1" x14ac:dyDescent="0.35">
      <c r="D54" s="178" t="s">
        <v>22</v>
      </c>
      <c r="E54" s="179"/>
      <c r="F54" s="179"/>
      <c r="G54" s="179"/>
      <c r="H54" s="179"/>
      <c r="I54" s="179"/>
      <c r="J54" s="180"/>
      <c r="N54" s="178" t="s">
        <v>23</v>
      </c>
      <c r="O54" s="179"/>
      <c r="P54" s="179"/>
      <c r="Q54" s="179"/>
      <c r="R54" s="179"/>
      <c r="S54" s="179"/>
      <c r="T54" s="180"/>
    </row>
    <row r="55" spans="1:20" x14ac:dyDescent="0.25">
      <c r="D55" s="7" t="s">
        <v>12</v>
      </c>
      <c r="E55" s="8" t="s">
        <v>13</v>
      </c>
      <c r="F55" s="8"/>
      <c r="G55" s="9" t="s">
        <v>8</v>
      </c>
      <c r="H55" s="9" t="s">
        <v>9</v>
      </c>
      <c r="I55" s="9" t="s">
        <v>9</v>
      </c>
      <c r="J55" s="10" t="s">
        <v>10</v>
      </c>
      <c r="N55" s="7" t="s">
        <v>12</v>
      </c>
      <c r="O55" s="8" t="s">
        <v>13</v>
      </c>
      <c r="P55" s="8"/>
      <c r="Q55" s="9" t="s">
        <v>8</v>
      </c>
      <c r="R55" s="9" t="s">
        <v>9</v>
      </c>
      <c r="S55" s="9" t="s">
        <v>9</v>
      </c>
      <c r="T55" s="10" t="s">
        <v>10</v>
      </c>
    </row>
    <row r="56" spans="1:20" ht="15.75" thickBot="1" x14ac:dyDescent="0.3">
      <c r="D56" s="101"/>
      <c r="E56" s="102"/>
      <c r="F56" s="102"/>
      <c r="G56" s="103" t="s">
        <v>14</v>
      </c>
      <c r="H56" s="103" t="s">
        <v>16</v>
      </c>
      <c r="I56" s="102" t="s">
        <v>15</v>
      </c>
      <c r="J56" s="104" t="s">
        <v>17</v>
      </c>
      <c r="N56" s="101"/>
      <c r="O56" s="102"/>
      <c r="P56" s="102"/>
      <c r="Q56" s="103" t="s">
        <v>14</v>
      </c>
      <c r="R56" s="103" t="s">
        <v>16</v>
      </c>
      <c r="S56" s="102" t="s">
        <v>15</v>
      </c>
      <c r="T56" s="104" t="s">
        <v>17</v>
      </c>
    </row>
    <row r="57" spans="1:20" x14ac:dyDescent="0.25">
      <c r="A57" s="12" t="s">
        <v>0</v>
      </c>
      <c r="B57" s="107">
        <f>C57-$C$5</f>
        <v>0</v>
      </c>
      <c r="C57" s="118">
        <v>41802</v>
      </c>
      <c r="D57" s="107"/>
      <c r="E57" s="106">
        <v>41802.763888888891</v>
      </c>
      <c r="F57" s="106"/>
      <c r="G57" s="107"/>
      <c r="H57" s="107"/>
      <c r="I57" s="107"/>
      <c r="J57" s="108"/>
      <c r="L57" s="107">
        <f>M57-$C$5</f>
        <v>0</v>
      </c>
      <c r="M57" s="118">
        <v>41802</v>
      </c>
      <c r="N57" s="107"/>
      <c r="O57" s="106">
        <v>41802.763888888891</v>
      </c>
      <c r="P57" s="106"/>
      <c r="Q57" s="107"/>
      <c r="R57" s="107"/>
      <c r="S57" s="107"/>
      <c r="T57" s="108"/>
    </row>
    <row r="58" spans="1:20" x14ac:dyDescent="0.25">
      <c r="A58" s="13" t="s">
        <v>1</v>
      </c>
      <c r="B58" s="3">
        <f t="shared" ref="B58:B73" si="22">C58-$C$5</f>
        <v>1</v>
      </c>
      <c r="C58" s="115">
        <v>41803</v>
      </c>
      <c r="D58" s="4">
        <v>41803.458333333336</v>
      </c>
      <c r="E58" s="4">
        <v>41803.729166666664</v>
      </c>
      <c r="F58" s="4"/>
      <c r="G58" s="3">
        <v>428</v>
      </c>
      <c r="H58" s="14">
        <f>D58-E57</f>
        <v>0.69444444444525288</v>
      </c>
      <c r="I58" s="5">
        <f>16*60+(40)</f>
        <v>1000</v>
      </c>
      <c r="J58" s="109">
        <f>G58/I58</f>
        <v>0.42799999999999999</v>
      </c>
      <c r="L58" s="3">
        <f t="shared" ref="L58:L74" si="23">M58-$C$5</f>
        <v>1</v>
      </c>
      <c r="M58" s="115">
        <v>41803</v>
      </c>
      <c r="N58" s="4">
        <v>41803.458333333336</v>
      </c>
      <c r="O58" s="4">
        <v>41803.729166666664</v>
      </c>
      <c r="P58" s="4"/>
      <c r="Q58" s="3">
        <v>583</v>
      </c>
      <c r="R58" s="14">
        <f>N58-O57</f>
        <v>0.69444444444525288</v>
      </c>
      <c r="S58" s="5">
        <f>16*60+(40)</f>
        <v>1000</v>
      </c>
      <c r="T58" s="109">
        <f>Q58/S58</f>
        <v>0.58299999999999996</v>
      </c>
    </row>
    <row r="59" spans="1:20" x14ac:dyDescent="0.25">
      <c r="A59" s="13" t="s">
        <v>2</v>
      </c>
      <c r="B59" s="3">
        <f t="shared" si="22"/>
        <v>2</v>
      </c>
      <c r="C59" s="115">
        <v>41804</v>
      </c>
      <c r="D59" s="4">
        <v>41804.5</v>
      </c>
      <c r="E59" s="4">
        <v>41804.583333333336</v>
      </c>
      <c r="F59" s="4"/>
      <c r="G59" s="3">
        <v>340</v>
      </c>
      <c r="H59" s="14">
        <f>D59-E58</f>
        <v>0.77083333333575865</v>
      </c>
      <c r="I59" s="5">
        <f>18*60+30</f>
        <v>1110</v>
      </c>
      <c r="J59" s="109">
        <f>G59/I59</f>
        <v>0.30630630630630629</v>
      </c>
      <c r="L59" s="3">
        <f t="shared" si="23"/>
        <v>2</v>
      </c>
      <c r="M59" s="115">
        <v>41804</v>
      </c>
      <c r="N59" s="4">
        <v>41804.5</v>
      </c>
      <c r="O59" s="4">
        <v>41804.583333333336</v>
      </c>
      <c r="P59" s="4"/>
      <c r="Q59" s="3">
        <v>626</v>
      </c>
      <c r="R59" s="14">
        <f>N59-O58</f>
        <v>0.77083333333575865</v>
      </c>
      <c r="S59" s="5">
        <f>18*60+30</f>
        <v>1110</v>
      </c>
      <c r="T59" s="109">
        <f>Q59/S59</f>
        <v>0.56396396396396398</v>
      </c>
    </row>
    <row r="60" spans="1:20" x14ac:dyDescent="0.25">
      <c r="A60" s="13" t="s">
        <v>3</v>
      </c>
      <c r="B60" s="3">
        <f t="shared" si="22"/>
        <v>3</v>
      </c>
      <c r="C60" s="115">
        <v>41805</v>
      </c>
      <c r="D60" s="6" t="s">
        <v>11</v>
      </c>
      <c r="E60" s="6" t="s">
        <v>11</v>
      </c>
      <c r="F60" s="6"/>
      <c r="G60" s="3"/>
      <c r="H60" s="3"/>
      <c r="I60" s="3"/>
      <c r="J60" s="110"/>
      <c r="L60" s="3">
        <f t="shared" si="23"/>
        <v>3</v>
      </c>
      <c r="M60" s="115">
        <v>41805</v>
      </c>
      <c r="N60" s="6" t="s">
        <v>11</v>
      </c>
      <c r="O60" s="6" t="s">
        <v>11</v>
      </c>
      <c r="P60" s="6"/>
      <c r="Q60" s="3"/>
      <c r="R60" s="3"/>
      <c r="S60" s="3"/>
      <c r="T60" s="110"/>
    </row>
    <row r="61" spans="1:20" x14ac:dyDescent="0.25">
      <c r="A61" s="13" t="s">
        <v>4</v>
      </c>
      <c r="B61" s="3">
        <f t="shared" si="22"/>
        <v>4</v>
      </c>
      <c r="C61" s="115">
        <v>41806</v>
      </c>
      <c r="D61" s="4">
        <v>41806.604166666664</v>
      </c>
      <c r="E61" s="4">
        <v>41806.645833333336</v>
      </c>
      <c r="F61" s="4"/>
      <c r="G61" s="3">
        <v>1207</v>
      </c>
      <c r="H61" s="14">
        <f>D61-E59</f>
        <v>2.0208333333284827</v>
      </c>
      <c r="I61" s="3">
        <f>48*60+30</f>
        <v>2910</v>
      </c>
      <c r="J61" s="109">
        <f>G61/I61</f>
        <v>0.41477663230240552</v>
      </c>
      <c r="L61" s="3">
        <f t="shared" si="23"/>
        <v>4</v>
      </c>
      <c r="M61" s="115">
        <v>41806</v>
      </c>
      <c r="N61" s="4">
        <v>41806.604166666664</v>
      </c>
      <c r="O61" s="4">
        <v>41806.645833333336</v>
      </c>
      <c r="P61" s="4"/>
      <c r="Q61" s="3">
        <v>1211</v>
      </c>
      <c r="R61" s="14">
        <f>N61-O59</f>
        <v>2.0208333333284827</v>
      </c>
      <c r="S61" s="3">
        <f>48*60+30</f>
        <v>2910</v>
      </c>
      <c r="T61" s="109">
        <f>Q61/S61</f>
        <v>0.41615120274914091</v>
      </c>
    </row>
    <row r="62" spans="1:20" x14ac:dyDescent="0.25">
      <c r="A62" s="13" t="s">
        <v>5</v>
      </c>
      <c r="B62" s="3">
        <f t="shared" si="22"/>
        <v>5</v>
      </c>
      <c r="C62" s="115">
        <v>41807</v>
      </c>
      <c r="D62" s="4">
        <v>41807.753472222219</v>
      </c>
      <c r="E62" s="4">
        <v>41807.770833333336</v>
      </c>
      <c r="F62" s="4"/>
      <c r="G62" s="3">
        <v>702</v>
      </c>
      <c r="H62" s="3">
        <f>D62-E61</f>
        <v>1.1076388888832298</v>
      </c>
      <c r="I62" s="3">
        <f>26*60+35</f>
        <v>1595</v>
      </c>
      <c r="J62" s="110">
        <f>G62/I62</f>
        <v>0.44012539184952976</v>
      </c>
      <c r="L62" s="3">
        <f t="shared" si="23"/>
        <v>5</v>
      </c>
      <c r="M62" s="115">
        <v>41807</v>
      </c>
      <c r="N62" s="4">
        <v>41807.753472222219</v>
      </c>
      <c r="O62" s="4">
        <v>41807.770833333336</v>
      </c>
      <c r="P62" s="4"/>
      <c r="Q62" s="3">
        <v>744</v>
      </c>
      <c r="R62" s="3">
        <f>N62-O61</f>
        <v>1.1076388888832298</v>
      </c>
      <c r="S62" s="3">
        <f>26*60+35</f>
        <v>1595</v>
      </c>
      <c r="T62" s="110">
        <f>Q62/S62</f>
        <v>0.46645768025078371</v>
      </c>
    </row>
    <row r="63" spans="1:20" x14ac:dyDescent="0.25">
      <c r="A63" s="13" t="s">
        <v>6</v>
      </c>
      <c r="B63" s="3">
        <f t="shared" si="22"/>
        <v>6</v>
      </c>
      <c r="C63" s="115">
        <v>41808</v>
      </c>
      <c r="D63" s="4">
        <v>41808.375</v>
      </c>
      <c r="E63" s="4">
        <v>41808.625</v>
      </c>
      <c r="F63" s="4"/>
      <c r="G63" s="3"/>
      <c r="H63" s="14"/>
      <c r="I63" s="3"/>
      <c r="J63" s="109"/>
      <c r="L63" s="3">
        <f t="shared" si="23"/>
        <v>6</v>
      </c>
      <c r="M63" s="115">
        <v>41808</v>
      </c>
      <c r="N63" s="4">
        <v>41808.375</v>
      </c>
      <c r="O63" s="4">
        <v>41808.625</v>
      </c>
      <c r="P63" s="4"/>
      <c r="Q63" s="3"/>
      <c r="R63" s="14"/>
      <c r="S63" s="3"/>
      <c r="T63" s="109"/>
    </row>
    <row r="64" spans="1:20" x14ac:dyDescent="0.25">
      <c r="A64" s="13" t="s">
        <v>7</v>
      </c>
      <c r="B64" s="3">
        <f t="shared" si="22"/>
        <v>7</v>
      </c>
      <c r="C64" s="115">
        <v>41809</v>
      </c>
      <c r="D64" s="4">
        <v>41809.458333333336</v>
      </c>
      <c r="E64" s="4">
        <v>41809.722222222219</v>
      </c>
      <c r="F64" s="4"/>
      <c r="G64" s="3">
        <v>437</v>
      </c>
      <c r="H64" s="14">
        <f>D64-E63</f>
        <v>0.83333333333575865</v>
      </c>
      <c r="I64" s="3">
        <f>24*60</f>
        <v>1440</v>
      </c>
      <c r="J64" s="109">
        <f>G64/I64</f>
        <v>0.3034722222222222</v>
      </c>
      <c r="L64" s="3">
        <f t="shared" si="23"/>
        <v>7</v>
      </c>
      <c r="M64" s="115">
        <v>41809</v>
      </c>
      <c r="N64" s="4">
        <v>41809.458333333336</v>
      </c>
      <c r="O64" s="4">
        <v>41809.722222222219</v>
      </c>
      <c r="P64" s="4"/>
      <c r="Q64" s="3">
        <f>1065-563</f>
        <v>502</v>
      </c>
      <c r="R64" s="14">
        <f>N64-O63</f>
        <v>0.83333333333575865</v>
      </c>
      <c r="S64" s="3">
        <f>24*60</f>
        <v>1440</v>
      </c>
      <c r="T64" s="109">
        <f>Q64/S64</f>
        <v>0.34861111111111109</v>
      </c>
    </row>
    <row r="65" spans="1:20" x14ac:dyDescent="0.25">
      <c r="A65" s="13" t="s">
        <v>1</v>
      </c>
      <c r="B65" s="3">
        <f t="shared" si="22"/>
        <v>8</v>
      </c>
      <c r="C65" s="115">
        <v>41810</v>
      </c>
      <c r="D65" s="4">
        <v>41810.618055555555</v>
      </c>
      <c r="E65" s="4">
        <v>41810.632638888892</v>
      </c>
      <c r="F65" s="3">
        <v>1550</v>
      </c>
      <c r="G65" s="3">
        <f>F65-$E$53</f>
        <v>555</v>
      </c>
      <c r="H65" s="14">
        <f>D65-E64</f>
        <v>0.89583333333575865</v>
      </c>
      <c r="I65" s="3">
        <f>21*60+30</f>
        <v>1290</v>
      </c>
      <c r="J65" s="109">
        <f>G65/I65</f>
        <v>0.43023255813953487</v>
      </c>
      <c r="L65" s="3">
        <f t="shared" si="23"/>
        <v>8</v>
      </c>
      <c r="M65" s="115">
        <v>41810</v>
      </c>
      <c r="N65" s="4">
        <v>41810.618055555555</v>
      </c>
      <c r="O65" s="4">
        <v>41810.632638888892</v>
      </c>
      <c r="P65" s="4">
        <v>1575</v>
      </c>
      <c r="Q65" s="3">
        <f>P65-$O$53</f>
        <v>569</v>
      </c>
      <c r="R65" s="14">
        <f>N65-O64</f>
        <v>0.89583333333575865</v>
      </c>
      <c r="S65" s="3">
        <f>21*60+30</f>
        <v>1290</v>
      </c>
      <c r="T65" s="109">
        <f>Q65/S65</f>
        <v>0.44108527131782943</v>
      </c>
    </row>
    <row r="66" spans="1:20" x14ac:dyDescent="0.25">
      <c r="A66" s="13" t="s">
        <v>5</v>
      </c>
      <c r="B66" s="3">
        <f t="shared" si="22"/>
        <v>12</v>
      </c>
      <c r="C66" s="115">
        <v>41814</v>
      </c>
      <c r="D66" s="4">
        <v>41814.722222222219</v>
      </c>
      <c r="E66" s="4">
        <v>41814.743055555555</v>
      </c>
      <c r="F66" s="3"/>
      <c r="G66" s="3"/>
      <c r="H66" s="14"/>
      <c r="I66" s="3"/>
      <c r="J66" s="109"/>
      <c r="L66" s="3">
        <f t="shared" si="23"/>
        <v>12</v>
      </c>
      <c r="M66" s="115">
        <v>41814</v>
      </c>
      <c r="N66" s="4">
        <v>41814.722222222219</v>
      </c>
      <c r="O66" s="4">
        <v>41814.743055555555</v>
      </c>
      <c r="P66" s="3"/>
      <c r="Q66" s="3"/>
      <c r="R66" s="14"/>
      <c r="S66" s="3"/>
      <c r="T66" s="109"/>
    </row>
    <row r="67" spans="1:20" x14ac:dyDescent="0.25">
      <c r="A67" s="13" t="s">
        <v>6</v>
      </c>
      <c r="B67" s="3">
        <f t="shared" si="22"/>
        <v>13</v>
      </c>
      <c r="C67" s="115">
        <v>41815</v>
      </c>
      <c r="D67" s="4">
        <v>41815.71875</v>
      </c>
      <c r="E67" s="4">
        <v>41815.770833333336</v>
      </c>
      <c r="F67" s="3">
        <v>1651</v>
      </c>
      <c r="G67" s="3">
        <f>F67-$E$53</f>
        <v>656</v>
      </c>
      <c r="H67" s="14">
        <f>D67-E66</f>
        <v>0.97569444444525288</v>
      </c>
      <c r="I67" s="3">
        <f>23*60+25</f>
        <v>1405</v>
      </c>
      <c r="J67" s="109">
        <f>G67/I67</f>
        <v>0.46690391459074732</v>
      </c>
      <c r="L67" s="3">
        <f t="shared" si="23"/>
        <v>13</v>
      </c>
      <c r="M67" s="115">
        <v>41815</v>
      </c>
      <c r="N67" s="4">
        <v>41815.71875</v>
      </c>
      <c r="O67" s="4">
        <v>41815.770833333336</v>
      </c>
      <c r="P67" s="3">
        <v>1635</v>
      </c>
      <c r="Q67" s="3">
        <f>P67-$O$53</f>
        <v>629</v>
      </c>
      <c r="R67" s="14">
        <f>N67-O66</f>
        <v>0.97569444444525288</v>
      </c>
      <c r="S67" s="3">
        <f>23*60+25</f>
        <v>1405</v>
      </c>
      <c r="T67" s="109">
        <f>Q67/S67</f>
        <v>0.44768683274021354</v>
      </c>
    </row>
    <row r="68" spans="1:20" x14ac:dyDescent="0.25">
      <c r="A68" s="13" t="s">
        <v>7</v>
      </c>
      <c r="B68" s="3">
        <f t="shared" si="22"/>
        <v>14</v>
      </c>
      <c r="C68" s="115">
        <v>41816</v>
      </c>
      <c r="D68" s="4">
        <v>41816.75</v>
      </c>
      <c r="E68" s="4">
        <v>41816.791666666664</v>
      </c>
      <c r="F68" s="3">
        <v>1522</v>
      </c>
      <c r="G68" s="3">
        <f>F68-$E$53</f>
        <v>527</v>
      </c>
      <c r="H68" s="14">
        <f>D68-E67</f>
        <v>0.97916666666424135</v>
      </c>
      <c r="I68" s="3">
        <f>23*60+30</f>
        <v>1410</v>
      </c>
      <c r="J68" s="109">
        <f>G68/I68</f>
        <v>0.37375886524822693</v>
      </c>
      <c r="L68" s="3">
        <f t="shared" si="23"/>
        <v>14</v>
      </c>
      <c r="M68" s="115">
        <v>41816</v>
      </c>
      <c r="N68" s="4">
        <v>41816.75</v>
      </c>
      <c r="O68" s="4">
        <v>41816.791666666664</v>
      </c>
      <c r="P68" s="3">
        <v>1629</v>
      </c>
      <c r="Q68" s="3">
        <f>P68-$O$53</f>
        <v>623</v>
      </c>
      <c r="R68" s="14">
        <f>N68-O67</f>
        <v>0.97916666666424135</v>
      </c>
      <c r="S68" s="3">
        <f>23*60+30</f>
        <v>1410</v>
      </c>
      <c r="T68" s="109">
        <f>Q68/S68</f>
        <v>0.4418439716312057</v>
      </c>
    </row>
    <row r="69" spans="1:20" x14ac:dyDescent="0.25">
      <c r="A69" s="13" t="s">
        <v>1</v>
      </c>
      <c r="B69" s="3">
        <f t="shared" si="22"/>
        <v>15</v>
      </c>
      <c r="C69" s="115">
        <v>41817</v>
      </c>
      <c r="D69" s="4">
        <v>41817.729166666664</v>
      </c>
      <c r="E69" s="4">
        <v>41817.770833333336</v>
      </c>
      <c r="F69" s="3">
        <v>1591</v>
      </c>
      <c r="G69" s="3">
        <f>F69-$E$53</f>
        <v>596</v>
      </c>
      <c r="H69" s="14">
        <f>D69-E68</f>
        <v>0.9375</v>
      </c>
      <c r="I69" s="3">
        <f>22*60+30</f>
        <v>1350</v>
      </c>
      <c r="J69" s="109">
        <f>G69/I69</f>
        <v>0.44148148148148147</v>
      </c>
      <c r="L69" s="3">
        <f t="shared" si="23"/>
        <v>15</v>
      </c>
      <c r="M69" s="115">
        <v>41817</v>
      </c>
      <c r="N69" s="4">
        <v>41817.729166666664</v>
      </c>
      <c r="O69" s="4">
        <v>41817.770833333336</v>
      </c>
      <c r="P69" s="3">
        <v>1280</v>
      </c>
      <c r="Q69" s="3">
        <f>P69-$E$53</f>
        <v>285</v>
      </c>
      <c r="R69" s="14">
        <f>N69-O68</f>
        <v>0.9375</v>
      </c>
      <c r="S69" s="3">
        <f>22*60+30</f>
        <v>1350</v>
      </c>
      <c r="T69" s="109"/>
    </row>
    <row r="70" spans="1:20" x14ac:dyDescent="0.25">
      <c r="A70" s="13" t="s">
        <v>4</v>
      </c>
      <c r="B70" s="3">
        <f t="shared" si="22"/>
        <v>18</v>
      </c>
      <c r="C70" s="115">
        <v>41820</v>
      </c>
      <c r="D70" s="4">
        <v>41820.395833333336</v>
      </c>
      <c r="E70" s="4">
        <v>41820.770833333336</v>
      </c>
      <c r="F70" s="3">
        <v>2692</v>
      </c>
      <c r="G70" s="3">
        <f>F70-$E$53</f>
        <v>1697</v>
      </c>
      <c r="H70" s="14">
        <f t="shared" ref="H70" si="24">D70-E69</f>
        <v>2.625</v>
      </c>
      <c r="I70" s="3">
        <f>60*63</f>
        <v>3780</v>
      </c>
      <c r="J70" s="109">
        <f t="shared" ref="J70:J71" si="25">G70/I70</f>
        <v>0.44894179894179892</v>
      </c>
      <c r="L70" s="3">
        <f t="shared" si="23"/>
        <v>18</v>
      </c>
      <c r="M70" s="115">
        <v>41820</v>
      </c>
      <c r="N70" s="4">
        <v>41820.395833333336</v>
      </c>
      <c r="O70" s="4">
        <v>41820.399305555555</v>
      </c>
      <c r="P70" s="3">
        <v>2750</v>
      </c>
      <c r="Q70" s="3">
        <f>P70-$E$53</f>
        <v>1755</v>
      </c>
      <c r="R70" s="14">
        <f t="shared" ref="R70" si="26">N70-O69</f>
        <v>2.625</v>
      </c>
      <c r="S70" s="3">
        <f>60*63</f>
        <v>3780</v>
      </c>
      <c r="T70" s="109">
        <f t="shared" ref="T70:T71" si="27">Q70/S70</f>
        <v>0.4642857142857143</v>
      </c>
    </row>
    <row r="71" spans="1:20" x14ac:dyDescent="0.25">
      <c r="A71" s="13" t="s">
        <v>5</v>
      </c>
      <c r="B71" s="3">
        <f t="shared" si="22"/>
        <v>19</v>
      </c>
      <c r="C71" s="115">
        <v>41821</v>
      </c>
      <c r="D71" s="4">
        <v>41821.729166666664</v>
      </c>
      <c r="E71" s="4">
        <v>41821.756944444445</v>
      </c>
      <c r="F71" s="3">
        <v>1660</v>
      </c>
      <c r="G71" s="3">
        <f>F71-$E$53</f>
        <v>665</v>
      </c>
      <c r="H71" s="14">
        <f>D71-E70</f>
        <v>0.95833333332848269</v>
      </c>
      <c r="I71" s="3">
        <f>23*60</f>
        <v>1380</v>
      </c>
      <c r="J71" s="109">
        <f t="shared" si="25"/>
        <v>0.48188405797101447</v>
      </c>
      <c r="L71" s="3">
        <f t="shared" si="23"/>
        <v>19</v>
      </c>
      <c r="M71" s="115">
        <v>41821</v>
      </c>
      <c r="N71" s="4">
        <v>41821.729166666664</v>
      </c>
      <c r="O71" s="4">
        <v>41821.756944444445</v>
      </c>
      <c r="P71" s="3">
        <v>1616</v>
      </c>
      <c r="Q71" s="3">
        <f>P71-$E$53</f>
        <v>621</v>
      </c>
      <c r="R71" s="14">
        <f>N71-O70</f>
        <v>1.3298611111094942</v>
      </c>
      <c r="S71" s="3">
        <f>23*60</f>
        <v>1380</v>
      </c>
      <c r="T71" s="109">
        <f t="shared" si="27"/>
        <v>0.45</v>
      </c>
    </row>
    <row r="72" spans="1:20" x14ac:dyDescent="0.25">
      <c r="A72" s="13" t="s">
        <v>6</v>
      </c>
      <c r="B72" s="3">
        <f t="shared" si="22"/>
        <v>20</v>
      </c>
      <c r="C72" s="115">
        <v>41822</v>
      </c>
      <c r="D72" s="4">
        <v>41822.423611111109</v>
      </c>
      <c r="E72" s="4">
        <v>41822.805555555555</v>
      </c>
      <c r="F72" s="3"/>
      <c r="G72" s="105">
        <f>999-561</f>
        <v>438</v>
      </c>
      <c r="H72" s="14">
        <f>D72-E71</f>
        <v>0.66666666666424135</v>
      </c>
      <c r="I72" s="3">
        <f>16*60</f>
        <v>960</v>
      </c>
      <c r="J72" s="109">
        <f>G72/I72</f>
        <v>0.45624999999999999</v>
      </c>
      <c r="L72" s="3">
        <f t="shared" si="23"/>
        <v>20</v>
      </c>
      <c r="M72" s="115">
        <v>41822</v>
      </c>
      <c r="N72" s="4">
        <v>41822.423611111109</v>
      </c>
      <c r="O72" s="4">
        <v>41822.805555555555</v>
      </c>
      <c r="P72" s="3"/>
      <c r="Q72" s="105">
        <f>982-564</f>
        <v>418</v>
      </c>
      <c r="R72" s="14">
        <f>N72-O71</f>
        <v>0.66666666666424135</v>
      </c>
      <c r="S72" s="3">
        <f>16*60</f>
        <v>960</v>
      </c>
      <c r="T72" s="109">
        <f>Q72/S72</f>
        <v>0.43541666666666667</v>
      </c>
    </row>
    <row r="73" spans="1:20" x14ac:dyDescent="0.25">
      <c r="A73" s="13" t="s">
        <v>7</v>
      </c>
      <c r="B73" s="3">
        <f t="shared" si="22"/>
        <v>21</v>
      </c>
      <c r="C73" s="115">
        <v>41823</v>
      </c>
      <c r="D73" s="4">
        <v>41823.711805555555</v>
      </c>
      <c r="E73" s="4">
        <v>41823.722222222219</v>
      </c>
      <c r="F73" s="4"/>
      <c r="G73" s="105">
        <f>984-559</f>
        <v>425</v>
      </c>
      <c r="H73" s="14">
        <f>D73-E72</f>
        <v>0.90625</v>
      </c>
      <c r="I73" s="3">
        <f>21*60+45</f>
        <v>1305</v>
      </c>
      <c r="J73" s="109">
        <f>G73/I73</f>
        <v>0.32567049808429116</v>
      </c>
      <c r="L73" s="3">
        <f t="shared" si="23"/>
        <v>21</v>
      </c>
      <c r="M73" s="115">
        <v>41823</v>
      </c>
      <c r="N73" s="4">
        <v>41823.711805555555</v>
      </c>
      <c r="O73" s="4">
        <v>41823.722222222219</v>
      </c>
      <c r="P73" s="4"/>
      <c r="Q73" s="105">
        <f>957-564</f>
        <v>393</v>
      </c>
      <c r="R73" s="14">
        <f>N73-O72</f>
        <v>0.90625</v>
      </c>
      <c r="S73" s="3">
        <f>21*60+45</f>
        <v>1305</v>
      </c>
      <c r="T73" s="109"/>
    </row>
    <row r="74" spans="1:20" x14ac:dyDescent="0.25">
      <c r="A74" s="13"/>
      <c r="B74" s="3">
        <f t="shared" ref="B74" si="28">C74-$C$5</f>
        <v>46</v>
      </c>
      <c r="C74" s="115">
        <v>41848</v>
      </c>
      <c r="D74" s="4">
        <v>41848.722222222219</v>
      </c>
      <c r="E74" s="4"/>
      <c r="F74" s="3"/>
      <c r="G74" s="3"/>
      <c r="H74" s="14"/>
      <c r="I74" s="3"/>
      <c r="J74" s="109">
        <v>0.43</v>
      </c>
      <c r="L74" s="3">
        <f t="shared" si="23"/>
        <v>46</v>
      </c>
      <c r="M74" s="115">
        <v>41848</v>
      </c>
      <c r="N74" s="4">
        <v>41848.722222222219</v>
      </c>
      <c r="O74" s="4"/>
      <c r="P74" s="3"/>
      <c r="Q74" s="3"/>
      <c r="R74" s="14"/>
      <c r="S74" s="3"/>
      <c r="T74" s="109">
        <v>0.43</v>
      </c>
    </row>
    <row r="75" spans="1:20" ht="15.75" thickBot="1" x14ac:dyDescent="0.3">
      <c r="A75" s="11"/>
      <c r="B75" s="112"/>
      <c r="C75" s="119"/>
      <c r="D75" s="111"/>
      <c r="E75" s="111"/>
      <c r="F75" s="111"/>
      <c r="G75" s="112"/>
      <c r="H75" s="113"/>
      <c r="I75" s="112"/>
      <c r="J75" s="114"/>
      <c r="L75" s="112"/>
      <c r="M75" s="119"/>
      <c r="N75" s="111"/>
      <c r="O75" s="111"/>
      <c r="P75" s="111"/>
      <c r="Q75" s="112"/>
      <c r="R75" s="113"/>
      <c r="S75" s="112"/>
      <c r="T75" s="114"/>
    </row>
    <row r="76" spans="1:20" ht="15.75" thickBot="1" x14ac:dyDescent="0.3"/>
    <row r="77" spans="1:20" ht="19.5" thickBot="1" x14ac:dyDescent="0.35">
      <c r="H77" s="117" t="s">
        <v>22</v>
      </c>
      <c r="J77" s="116">
        <f>AVERAGE(J60:J73)</f>
        <v>0.41668158371193209</v>
      </c>
      <c r="R77" s="117" t="s">
        <v>23</v>
      </c>
      <c r="T77" s="116">
        <f>AVERAGE(T61:T73)</f>
        <v>0.43461538341696282</v>
      </c>
    </row>
    <row r="116" spans="2:9" ht="15.75" thickBot="1" x14ac:dyDescent="0.3"/>
    <row r="117" spans="2:9" ht="15.75" thickBot="1" x14ac:dyDescent="0.3">
      <c r="C117" s="153" t="s">
        <v>18</v>
      </c>
      <c r="D117" s="154" t="s">
        <v>19</v>
      </c>
      <c r="E117" s="154" t="s">
        <v>20</v>
      </c>
      <c r="F117" s="154" t="s">
        <v>21</v>
      </c>
      <c r="G117" s="154" t="s">
        <v>22</v>
      </c>
      <c r="H117" s="155" t="s">
        <v>23</v>
      </c>
    </row>
    <row r="118" spans="2:9" x14ac:dyDescent="0.25">
      <c r="B118" s="156" t="s">
        <v>92</v>
      </c>
      <c r="C118" s="157">
        <f>J26</f>
        <v>0.42359213802985324</v>
      </c>
      <c r="D118" s="158">
        <f>T26</f>
        <v>0.42671047841170784</v>
      </c>
      <c r="E118" s="158">
        <f>J52</f>
        <v>0.43641998699184303</v>
      </c>
      <c r="F118" s="158">
        <f>T52</f>
        <v>0.42511021288363748</v>
      </c>
      <c r="G118" s="158">
        <f>J77</f>
        <v>0.41668158371193209</v>
      </c>
      <c r="H118" s="159">
        <f>T77</f>
        <v>0.43461538341696282</v>
      </c>
      <c r="I118" s="55">
        <f>AVERAGE(C118:H118)</f>
        <v>0.42718829724098945</v>
      </c>
    </row>
    <row r="119" spans="2:9" x14ac:dyDescent="0.25">
      <c r="B119" s="160" t="s">
        <v>93</v>
      </c>
      <c r="C119" s="161">
        <v>30</v>
      </c>
      <c r="D119" s="162">
        <v>30</v>
      </c>
      <c r="E119" s="162">
        <v>30</v>
      </c>
      <c r="F119" s="162">
        <v>30</v>
      </c>
      <c r="G119" s="162">
        <v>30</v>
      </c>
      <c r="H119" s="163">
        <v>30</v>
      </c>
    </row>
    <row r="120" spans="2:9" x14ac:dyDescent="0.25">
      <c r="B120" s="160" t="s">
        <v>94</v>
      </c>
      <c r="C120" s="161">
        <v>27</v>
      </c>
      <c r="D120" s="162">
        <v>27</v>
      </c>
      <c r="E120" s="162">
        <v>27</v>
      </c>
      <c r="F120" s="162">
        <v>27</v>
      </c>
      <c r="G120" s="162">
        <v>27</v>
      </c>
      <c r="H120" s="163">
        <v>27</v>
      </c>
    </row>
    <row r="121" spans="2:9" x14ac:dyDescent="0.25">
      <c r="B121" s="164" t="s">
        <v>95</v>
      </c>
      <c r="C121" s="161">
        <v>0.95</v>
      </c>
      <c r="D121" s="162">
        <v>0.97</v>
      </c>
      <c r="E121" s="162">
        <v>0.99</v>
      </c>
      <c r="F121" s="162">
        <v>0.97</v>
      </c>
      <c r="G121" s="162">
        <v>0.95</v>
      </c>
      <c r="H121" s="163">
        <v>0.97</v>
      </c>
    </row>
    <row r="122" spans="2:9" x14ac:dyDescent="0.25">
      <c r="B122" s="160" t="s">
        <v>96</v>
      </c>
      <c r="C122" s="165" t="s">
        <v>97</v>
      </c>
      <c r="D122" s="166" t="s">
        <v>97</v>
      </c>
      <c r="E122" s="166" t="s">
        <v>97</v>
      </c>
      <c r="F122" s="166" t="s">
        <v>97</v>
      </c>
      <c r="G122" s="166" t="s">
        <v>97</v>
      </c>
      <c r="H122" s="167" t="s">
        <v>97</v>
      </c>
    </row>
    <row r="123" spans="2:9" x14ac:dyDescent="0.25">
      <c r="B123" s="160" t="s">
        <v>98</v>
      </c>
      <c r="C123" s="165" t="s">
        <v>99</v>
      </c>
      <c r="D123" s="166" t="s">
        <v>99</v>
      </c>
      <c r="E123" s="166" t="s">
        <v>100</v>
      </c>
      <c r="F123" s="166" t="s">
        <v>100</v>
      </c>
      <c r="G123" s="166" t="s">
        <v>99</v>
      </c>
      <c r="H123" s="167" t="s">
        <v>100</v>
      </c>
    </row>
    <row r="124" spans="2:9" ht="18" x14ac:dyDescent="0.35">
      <c r="B124" s="160" t="s">
        <v>101</v>
      </c>
      <c r="C124" s="161">
        <v>2.1076958109803232E-2</v>
      </c>
      <c r="D124" s="162">
        <v>2.1076958109803232E-2</v>
      </c>
      <c r="E124" s="162">
        <v>1.4541414939115446E-2</v>
      </c>
      <c r="F124" s="162">
        <v>1.4541414939115446E-2</v>
      </c>
      <c r="G124" s="162">
        <v>2.1076958109803232E-2</v>
      </c>
      <c r="H124" s="163">
        <v>1.4541414939115446E-2</v>
      </c>
    </row>
    <row r="125" spans="2:9" ht="15.75" thickBot="1" x14ac:dyDescent="0.3">
      <c r="B125" s="168" t="s">
        <v>102</v>
      </c>
      <c r="C125" s="169">
        <v>0.56999999999999995</v>
      </c>
      <c r="D125" s="170">
        <f>$C$125</f>
        <v>0.56999999999999995</v>
      </c>
      <c r="E125" s="170">
        <v>0.39</v>
      </c>
      <c r="F125" s="170">
        <v>0.39</v>
      </c>
      <c r="G125" s="170">
        <f>$C$125</f>
        <v>0.56999999999999995</v>
      </c>
      <c r="H125" s="171">
        <v>0.39</v>
      </c>
    </row>
  </sheetData>
  <mergeCells count="6">
    <mergeCell ref="D2:J2"/>
    <mergeCell ref="N2:T2"/>
    <mergeCell ref="D29:J29"/>
    <mergeCell ref="N29:T29"/>
    <mergeCell ref="N54:T54"/>
    <mergeCell ref="D54:J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62"/>
  <sheetViews>
    <sheetView tabSelected="1" topLeftCell="U24" zoomScale="55" zoomScaleNormal="55" workbookViewId="0">
      <selection activeCell="AV49" sqref="AV49:BB49"/>
    </sheetView>
  </sheetViews>
  <sheetFormatPr defaultRowHeight="15" x14ac:dyDescent="0.25"/>
  <cols>
    <col min="13" max="16" width="12" bestFit="1" customWidth="1"/>
    <col min="17" max="17" width="10.85546875" customWidth="1"/>
    <col min="18" max="18" width="9.7109375" customWidth="1"/>
    <col min="20" max="20" width="14.28515625" customWidth="1"/>
    <col min="22" max="22" width="14.140625" customWidth="1"/>
    <col min="58" max="61" width="9.28515625" bestFit="1" customWidth="1"/>
    <col min="62" max="62" width="10.28515625" bestFit="1" customWidth="1"/>
    <col min="63" max="63" width="9.28515625" bestFit="1" customWidth="1"/>
  </cols>
  <sheetData>
    <row r="1" spans="2:64" s="15" customFormat="1" x14ac:dyDescent="0.25">
      <c r="AN1" s="19"/>
      <c r="AP1" s="19"/>
      <c r="AR1" s="19"/>
      <c r="AT1" s="19"/>
      <c r="AV1" s="19"/>
      <c r="AX1" s="19"/>
      <c r="AY1" s="19"/>
      <c r="AZ1" s="19"/>
      <c r="BA1" s="19"/>
      <c r="BB1" s="19"/>
      <c r="BC1" s="19"/>
    </row>
    <row r="2" spans="2:64" ht="15.75" thickBot="1" x14ac:dyDescent="0.3">
      <c r="AL2" s="124"/>
      <c r="AM2" s="19"/>
      <c r="AO2" s="15"/>
      <c r="AP2" s="15"/>
      <c r="AQ2" s="15"/>
      <c r="AR2" s="15"/>
      <c r="AS2" s="15"/>
      <c r="AT2" s="15"/>
    </row>
    <row r="3" spans="2:64" ht="21.75" thickBot="1" x14ac:dyDescent="0.4">
      <c r="C3" s="181" t="s">
        <v>36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  <c r="W3" s="186" t="s">
        <v>67</v>
      </c>
      <c r="X3" s="187"/>
      <c r="Y3" s="187"/>
      <c r="Z3" s="187"/>
      <c r="AA3" s="187"/>
      <c r="AB3" s="187"/>
      <c r="AC3" s="188"/>
      <c r="AD3" s="49"/>
      <c r="AE3" s="49"/>
      <c r="AF3" s="186" t="s">
        <v>60</v>
      </c>
      <c r="AG3" s="187"/>
      <c r="AH3" s="187"/>
      <c r="AI3" s="187"/>
      <c r="AJ3" s="187"/>
      <c r="AK3" s="187"/>
      <c r="AL3" s="188"/>
      <c r="AM3" s="50"/>
      <c r="AN3" s="186" t="s">
        <v>114</v>
      </c>
      <c r="AO3" s="187"/>
      <c r="AP3" s="187"/>
      <c r="AQ3" s="187"/>
      <c r="AR3" s="187"/>
      <c r="AS3" s="187"/>
      <c r="AT3" s="188"/>
    </row>
    <row r="4" spans="2:64" ht="15" customHeight="1" thickBot="1" x14ac:dyDescent="0.3">
      <c r="B4" s="20"/>
      <c r="C4" s="28" t="s">
        <v>37</v>
      </c>
      <c r="D4" s="30" t="s">
        <v>38</v>
      </c>
      <c r="E4" s="28" t="s">
        <v>76</v>
      </c>
      <c r="F4" s="30" t="s">
        <v>64</v>
      </c>
      <c r="G4" s="28" t="s">
        <v>39</v>
      </c>
      <c r="H4" s="30" t="s">
        <v>40</v>
      </c>
      <c r="I4" s="28" t="s">
        <v>41</v>
      </c>
      <c r="J4" s="30" t="s">
        <v>42</v>
      </c>
      <c r="K4" s="28" t="s">
        <v>43</v>
      </c>
      <c r="L4" s="30" t="s">
        <v>44</v>
      </c>
      <c r="M4" s="28" t="s">
        <v>45</v>
      </c>
      <c r="N4" s="30" t="s">
        <v>46</v>
      </c>
      <c r="O4" s="28" t="s">
        <v>49</v>
      </c>
      <c r="P4" s="30" t="s">
        <v>50</v>
      </c>
      <c r="Q4" s="29" t="s">
        <v>47</v>
      </c>
      <c r="R4" s="30" t="s">
        <v>48</v>
      </c>
      <c r="W4" s="54">
        <v>0</v>
      </c>
      <c r="X4" s="52">
        <v>6</v>
      </c>
      <c r="Y4" s="54">
        <v>19</v>
      </c>
      <c r="Z4" s="54">
        <v>26</v>
      </c>
      <c r="AA4" s="54">
        <v>34</v>
      </c>
      <c r="AB4" s="54">
        <v>43</v>
      </c>
      <c r="AC4" s="54">
        <v>56</v>
      </c>
      <c r="AF4" s="54">
        <v>0</v>
      </c>
      <c r="AG4" s="52">
        <v>6</v>
      </c>
      <c r="AH4" s="54">
        <v>19</v>
      </c>
      <c r="AI4" s="54">
        <v>26</v>
      </c>
      <c r="AJ4" s="54">
        <v>34</v>
      </c>
      <c r="AK4" s="54">
        <v>43</v>
      </c>
      <c r="AL4" s="54">
        <v>56</v>
      </c>
      <c r="AM4" s="142"/>
      <c r="AN4" s="54">
        <v>0</v>
      </c>
      <c r="AO4" s="52">
        <v>6</v>
      </c>
      <c r="AP4" s="54">
        <v>19</v>
      </c>
      <c r="AQ4" s="54">
        <v>26</v>
      </c>
      <c r="AR4" s="54">
        <v>34</v>
      </c>
      <c r="AS4" s="54">
        <v>43</v>
      </c>
      <c r="AT4" s="54">
        <v>56</v>
      </c>
    </row>
    <row r="5" spans="2:64" ht="15.75" thickBot="1" x14ac:dyDescent="0.3">
      <c r="B5" s="20"/>
      <c r="C5" s="184" t="s">
        <v>57</v>
      </c>
      <c r="D5" s="185"/>
      <c r="E5" s="184" t="s">
        <v>57</v>
      </c>
      <c r="F5" s="185"/>
      <c r="G5" s="184" t="s">
        <v>57</v>
      </c>
      <c r="H5" s="185"/>
      <c r="I5" s="184" t="s">
        <v>57</v>
      </c>
      <c r="J5" s="185"/>
      <c r="K5" s="184" t="s">
        <v>57</v>
      </c>
      <c r="L5" s="185"/>
      <c r="M5" s="184" t="s">
        <v>57</v>
      </c>
      <c r="N5" s="185"/>
      <c r="O5" s="184" t="s">
        <v>57</v>
      </c>
      <c r="P5" s="185"/>
      <c r="Q5" s="184" t="s">
        <v>57</v>
      </c>
      <c r="R5" s="185"/>
      <c r="W5" s="139" t="s">
        <v>57</v>
      </c>
      <c r="X5" s="140" t="s">
        <v>57</v>
      </c>
      <c r="Y5" s="141" t="s">
        <v>57</v>
      </c>
      <c r="Z5" s="141" t="s">
        <v>57</v>
      </c>
      <c r="AA5" s="141" t="s">
        <v>57</v>
      </c>
      <c r="AB5" s="141" t="s">
        <v>57</v>
      </c>
      <c r="AC5" s="141" t="s">
        <v>57</v>
      </c>
      <c r="AF5" s="51" t="s">
        <v>57</v>
      </c>
      <c r="AG5" s="52" t="s">
        <v>57</v>
      </c>
      <c r="AH5" s="53" t="s">
        <v>57</v>
      </c>
      <c r="AI5" s="53" t="s">
        <v>57</v>
      </c>
      <c r="AJ5" s="53" t="s">
        <v>57</v>
      </c>
      <c r="AK5" s="141" t="s">
        <v>57</v>
      </c>
      <c r="AL5" s="141" t="s">
        <v>57</v>
      </c>
      <c r="AM5" s="142"/>
      <c r="AN5" s="142"/>
      <c r="AO5" s="15"/>
      <c r="AP5" s="15"/>
      <c r="AQ5" s="24"/>
      <c r="AR5" s="24"/>
      <c r="AS5" s="24"/>
      <c r="AT5" s="24"/>
      <c r="AU5" s="24"/>
      <c r="AV5" s="24"/>
      <c r="AW5" s="24"/>
      <c r="AX5" s="15"/>
      <c r="AY5" s="24"/>
      <c r="AZ5" s="24"/>
      <c r="BA5" s="24"/>
      <c r="BB5" s="24"/>
      <c r="BC5" s="24"/>
      <c r="BD5" s="24"/>
      <c r="BE5" s="24"/>
      <c r="BF5" s="15"/>
    </row>
    <row r="6" spans="2:64" ht="15.75" thickBot="1" x14ac:dyDescent="0.3">
      <c r="B6" s="20"/>
      <c r="C6" s="31" t="s">
        <v>58</v>
      </c>
      <c r="D6" s="32" t="s">
        <v>59</v>
      </c>
      <c r="E6" s="31" t="s">
        <v>58</v>
      </c>
      <c r="F6" s="32" t="s">
        <v>59</v>
      </c>
      <c r="G6" s="31" t="s">
        <v>58</v>
      </c>
      <c r="H6" s="32" t="s">
        <v>59</v>
      </c>
      <c r="I6" s="31" t="s">
        <v>58</v>
      </c>
      <c r="J6" s="32" t="s">
        <v>59</v>
      </c>
      <c r="K6" s="31" t="s">
        <v>58</v>
      </c>
      <c r="L6" s="32" t="s">
        <v>59</v>
      </c>
      <c r="M6" s="31" t="s">
        <v>58</v>
      </c>
      <c r="N6" s="32" t="s">
        <v>59</v>
      </c>
      <c r="O6" s="31" t="s">
        <v>58</v>
      </c>
      <c r="P6" s="32" t="s">
        <v>59</v>
      </c>
      <c r="Q6" s="31" t="s">
        <v>58</v>
      </c>
      <c r="R6" s="32" t="s">
        <v>59</v>
      </c>
      <c r="V6" s="136" t="s">
        <v>51</v>
      </c>
      <c r="W6" s="120">
        <f>AVERAGE(C7:D7)</f>
        <v>54</v>
      </c>
      <c r="X6" s="121">
        <f>AVERAGE(C16:D16)</f>
        <v>53.725000000000001</v>
      </c>
      <c r="Y6" s="121">
        <f>AVERAGE(C25:D25)</f>
        <v>53.995000000000005</v>
      </c>
      <c r="Z6" s="121">
        <f>AVERAGE(C34:D34)</f>
        <v>57.335000000000001</v>
      </c>
      <c r="AA6" s="121">
        <f>AVERAGE(C44:D44)</f>
        <v>58.265000000000001</v>
      </c>
      <c r="AB6" s="121">
        <f>AVERAGE(C52:D52)</f>
        <v>60.1</v>
      </c>
      <c r="AC6" s="122">
        <f>AVERAGE(C60:D60)</f>
        <v>59.43</v>
      </c>
      <c r="AF6" s="120" t="e">
        <f>STDEV(C7:D7)/SQRT(2)</f>
        <v>#DIV/0!</v>
      </c>
      <c r="AG6" s="121">
        <f>STDEV(C16:D16)/SQRT(2)</f>
        <v>0.37499999999999994</v>
      </c>
      <c r="AH6" s="121">
        <f>STDEV(C25:D25)/SQRT(2)</f>
        <v>0.31500000000000128</v>
      </c>
      <c r="AI6" s="121">
        <f>STDEV(C34:D34)/SQRT(2)</f>
        <v>0.19500000000000028</v>
      </c>
      <c r="AJ6" s="121">
        <f>STDEV(C44:D44)/SQRT(2)</f>
        <v>0.47500000000000137</v>
      </c>
      <c r="AK6" s="121">
        <f>STDEV(C52:D52)/SQRT(2)</f>
        <v>0.25</v>
      </c>
      <c r="AL6" s="122">
        <f>STDEV(C60:D60)/SQRT(2)</f>
        <v>0.63000000000000256</v>
      </c>
      <c r="AM6" s="19"/>
      <c r="AN6" s="19"/>
      <c r="AO6" s="15"/>
      <c r="AP6" s="20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2:64" ht="18" customHeight="1" thickBot="1" x14ac:dyDescent="0.3">
      <c r="B7" s="22" t="s">
        <v>53</v>
      </c>
      <c r="C7" s="39">
        <v>54</v>
      </c>
      <c r="D7" s="40"/>
      <c r="E7" s="41">
        <v>35.845642282114106</v>
      </c>
      <c r="F7" s="40"/>
      <c r="G7" s="41">
        <v>54</v>
      </c>
      <c r="H7" s="40"/>
      <c r="I7" s="41">
        <v>54.36</v>
      </c>
      <c r="J7" s="40"/>
      <c r="K7" s="41">
        <v>42.27</v>
      </c>
      <c r="L7" s="40">
        <f>6.076*7</f>
        <v>42.531999999999996</v>
      </c>
      <c r="M7" s="41">
        <v>37.04</v>
      </c>
      <c r="N7" s="40">
        <f>5.112*7</f>
        <v>35.783999999999999</v>
      </c>
      <c r="O7" s="41">
        <v>32.549999999999997</v>
      </c>
      <c r="P7" s="40">
        <v>33.46</v>
      </c>
      <c r="Q7" s="42">
        <v>26.17</v>
      </c>
      <c r="R7" s="43">
        <v>25.48</v>
      </c>
      <c r="V7" s="137" t="s">
        <v>77</v>
      </c>
      <c r="W7" s="123">
        <f>AVERAGE(E7:F7)</f>
        <v>35.845642282114106</v>
      </c>
      <c r="X7" s="19">
        <f>AVERAGE(E16:F16)</f>
        <v>35.566240996084218</v>
      </c>
      <c r="Y7" s="19">
        <f>AVERAGE(E25:F25)</f>
        <v>35.743726379522521</v>
      </c>
      <c r="Z7" s="19">
        <f>AVERAGE(E34:F34)</f>
        <v>37.954999999999998</v>
      </c>
      <c r="AA7" s="19">
        <f>AVERAGE(E44:F44)</f>
        <v>41.644999999999996</v>
      </c>
      <c r="AB7" s="19">
        <f>AVERAGE(E52:F52)</f>
        <v>33.96</v>
      </c>
      <c r="AC7" s="124">
        <f>AVERAGE(E60:F60)</f>
        <v>41.82</v>
      </c>
      <c r="AF7" s="123" t="e">
        <f>STDEV(C7:D7)/SQRT(2)</f>
        <v>#DIV/0!</v>
      </c>
      <c r="AG7" s="19">
        <f>STDEV(C16:D16)/SQRT(2)</f>
        <v>0.37499999999999994</v>
      </c>
      <c r="AH7" s="19">
        <f>STDEV(C25:D25)/SQRT(2)</f>
        <v>0.31500000000000128</v>
      </c>
      <c r="AI7" s="19">
        <f>STDEV(E34:F34)/SQRT(2)</f>
        <v>2.4999999999998579E-2</v>
      </c>
      <c r="AJ7" s="19">
        <f>STDEV(E44:F44)/SQRT(2)</f>
        <v>9.5000000000002402E-2</v>
      </c>
      <c r="AK7" s="19">
        <f>STDEV(F52:G52)/SQRT(2)</f>
        <v>11.279999999999998</v>
      </c>
      <c r="AL7" s="124">
        <f>STDEV(E60:F60)/SQRT(2)</f>
        <v>0.17999999999999972</v>
      </c>
      <c r="AM7" s="19"/>
      <c r="AN7" s="19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spans="2:64" ht="17.25" customHeight="1" x14ac:dyDescent="0.25">
      <c r="B8" s="23" t="s">
        <v>54</v>
      </c>
      <c r="C8" s="44">
        <v>23.27</v>
      </c>
      <c r="D8" s="45"/>
      <c r="E8" s="46">
        <v>12.641270270270271</v>
      </c>
      <c r="F8" s="45"/>
      <c r="G8" s="46">
        <v>22.58</v>
      </c>
      <c r="H8" s="45"/>
      <c r="I8" s="46">
        <v>22.89</v>
      </c>
      <c r="J8" s="45"/>
      <c r="K8" s="46">
        <v>24.91</v>
      </c>
      <c r="L8" s="45">
        <f>3.217*7</f>
        <v>22.519000000000002</v>
      </c>
      <c r="M8" s="46">
        <v>19.149999999999999</v>
      </c>
      <c r="N8" s="45">
        <f>2.524*7</f>
        <v>17.667999999999999</v>
      </c>
      <c r="O8" s="46">
        <v>10.99</v>
      </c>
      <c r="P8" s="45">
        <v>11.57</v>
      </c>
      <c r="Q8" s="47">
        <v>11.92</v>
      </c>
      <c r="R8" s="48">
        <v>12.37</v>
      </c>
      <c r="V8" s="137" t="s">
        <v>75</v>
      </c>
      <c r="W8" s="123">
        <f>AVERAGE(G7:H7)</f>
        <v>54</v>
      </c>
      <c r="X8" s="19">
        <f>AVERAGE(I16:J16)</f>
        <v>52.39</v>
      </c>
      <c r="Y8" s="19">
        <f>AVERAGE(G25:H25)</f>
        <v>53.114999999999995</v>
      </c>
      <c r="Z8" s="19">
        <f>AVERAGE(G34:H34)</f>
        <v>56.274999999999999</v>
      </c>
      <c r="AA8" s="19">
        <f>AVERAGE(G44:H44)</f>
        <v>56.364999999999995</v>
      </c>
      <c r="AB8" s="19">
        <f>AVERAGE(G52:H52)</f>
        <v>56.08</v>
      </c>
      <c r="AC8" s="124">
        <f>AVERAGE(G60:H60)</f>
        <v>56.66</v>
      </c>
      <c r="AF8" s="123" t="e">
        <f>STDEV(G7:H7)/SQRT(2)</f>
        <v>#DIV/0!</v>
      </c>
      <c r="AG8" s="19">
        <f>STDEV(G16:H16)/SQRT(2)</f>
        <v>0.53000000000000103</v>
      </c>
      <c r="AH8" s="19">
        <f>STDEV(G25:H25)/SQRT(2)</f>
        <v>0.14499999999999957</v>
      </c>
      <c r="AI8" s="19">
        <f>STDEV(G34:H34)/SQRT(2)</f>
        <v>4.5000000000001705E-2</v>
      </c>
      <c r="AJ8" s="19">
        <f>STDEV(G44:H44)/SQRT(2)</f>
        <v>4.9999999999990052E-3</v>
      </c>
      <c r="AK8" s="19">
        <f>STDEV(E52:F52)/SQRT(2)</f>
        <v>0.1899999999999977</v>
      </c>
      <c r="AL8" s="124">
        <f>STDEV(G60:H60)/SQRT(2)</f>
        <v>0.30999999999999872</v>
      </c>
      <c r="AM8" s="19"/>
      <c r="AN8" s="144">
        <f t="shared" ref="AN8:AT8" si="0">((W$6-W8)/W$6)</f>
        <v>0</v>
      </c>
      <c r="AO8" s="145">
        <f t="shared" si="0"/>
        <v>2.4848766868310859E-2</v>
      </c>
      <c r="AP8" s="145">
        <f t="shared" si="0"/>
        <v>1.6297805352347618E-2</v>
      </c>
      <c r="AQ8" s="145">
        <f t="shared" si="0"/>
        <v>1.8487834655969343E-2</v>
      </c>
      <c r="AR8" s="145">
        <f t="shared" si="0"/>
        <v>3.2609628421865711E-2</v>
      </c>
      <c r="AS8" s="145">
        <f t="shared" si="0"/>
        <v>6.688851913477542E-2</v>
      </c>
      <c r="AT8" s="146">
        <f t="shared" si="0"/>
        <v>4.6609456503449491E-2</v>
      </c>
      <c r="AU8" s="15"/>
      <c r="AV8" s="19"/>
      <c r="AW8" s="19"/>
      <c r="AX8" s="19"/>
      <c r="AY8" s="19"/>
      <c r="AZ8" s="19"/>
      <c r="BA8" s="19"/>
      <c r="BB8" s="19"/>
      <c r="BC8" s="19"/>
      <c r="BD8" s="15"/>
      <c r="BE8" s="15"/>
      <c r="BF8" s="135"/>
      <c r="BG8" s="135"/>
      <c r="BH8" s="135"/>
      <c r="BI8" s="135"/>
      <c r="BJ8" s="135"/>
      <c r="BK8" s="135"/>
      <c r="BL8" s="15"/>
    </row>
    <row r="9" spans="2:64" ht="15.75" thickBot="1" x14ac:dyDescent="0.3">
      <c r="B9" s="21" t="s">
        <v>55</v>
      </c>
      <c r="C9" s="33">
        <f>C7-C8</f>
        <v>30.73</v>
      </c>
      <c r="D9" s="34">
        <f t="shared" ref="D9" si="1">D7-D8</f>
        <v>0</v>
      </c>
      <c r="E9" s="35">
        <v>23.470480153649163</v>
      </c>
      <c r="F9" s="34"/>
      <c r="G9" s="35">
        <f t="shared" ref="G9" si="2">G7-G8</f>
        <v>31.42</v>
      </c>
      <c r="H9" s="34">
        <f t="shared" ref="H9" si="3">H7-H8</f>
        <v>0</v>
      </c>
      <c r="I9" s="35">
        <f t="shared" ref="I9" si="4">I7-I8</f>
        <v>31.47</v>
      </c>
      <c r="J9" s="34">
        <f t="shared" ref="J9" si="5">J7-J8</f>
        <v>0</v>
      </c>
      <c r="K9" s="35">
        <f t="shared" ref="K9" si="6">K7-K8</f>
        <v>17.360000000000003</v>
      </c>
      <c r="L9" s="34">
        <f t="shared" ref="L9" si="7">L7-L8</f>
        <v>20.012999999999995</v>
      </c>
      <c r="M9" s="35">
        <f t="shared" ref="M9" si="8">M7-M8</f>
        <v>17.89</v>
      </c>
      <c r="N9" s="34">
        <f t="shared" ref="N9" si="9">N7-N8</f>
        <v>18.116</v>
      </c>
      <c r="O9" s="35">
        <f t="shared" ref="O9" si="10">O7-O8</f>
        <v>21.559999999999995</v>
      </c>
      <c r="P9" s="34">
        <f t="shared" ref="P9" si="11">P7-P8</f>
        <v>21.89</v>
      </c>
      <c r="Q9" s="36">
        <f t="shared" ref="Q9" si="12">Q7-Q8</f>
        <v>14.250000000000002</v>
      </c>
      <c r="R9" s="37">
        <f t="shared" ref="R9" si="13">R7-R8</f>
        <v>13.110000000000001</v>
      </c>
      <c r="V9" s="137" t="s">
        <v>70</v>
      </c>
      <c r="W9" s="123">
        <f>AVERAGE(I7:J7)</f>
        <v>54.36</v>
      </c>
      <c r="X9" s="19">
        <f>AVERAGE(I16:J16)</f>
        <v>52.39</v>
      </c>
      <c r="Y9" s="19">
        <f>AVERAGE(I25:J25)</f>
        <v>52.68</v>
      </c>
      <c r="Z9" s="19">
        <f>AVERAGE(I34:J34)</f>
        <v>56.32</v>
      </c>
      <c r="AA9" s="19">
        <f>AVERAGE(I44:J44)</f>
        <v>55.204999999999998</v>
      </c>
      <c r="AB9" s="19">
        <f>AVERAGE(I52:J52)</f>
        <v>56.42</v>
      </c>
      <c r="AC9" s="124">
        <f>AVERAGE(I60:J60)</f>
        <v>56.370000000000005</v>
      </c>
      <c r="AF9" s="123" t="e">
        <f>STDEV(I7:J7)/SQRT(2)</f>
        <v>#DIV/0!</v>
      </c>
      <c r="AG9" s="19">
        <f>STDEV(I16:J16)/SQRT(2)</f>
        <v>7.000000000000027E-2</v>
      </c>
      <c r="AH9" s="19">
        <f>STDEV(I25:J25)/SQRT(2)</f>
        <v>0.17999999999999972</v>
      </c>
      <c r="AI9" s="19">
        <f>STDEV(I34:J34)/SQRT(2)</f>
        <v>9.9999999999980105E-3</v>
      </c>
      <c r="AJ9" s="19">
        <f>STDEV(I44:J44)/SQRT(2)</f>
        <v>0.33500000000000085</v>
      </c>
      <c r="AK9" s="19">
        <f>STDEV(G52:H52)/SQRT(2)</f>
        <v>0.25</v>
      </c>
      <c r="AL9" s="124">
        <f>STDEV(I60:J60)/SQRT(2)</f>
        <v>1.9999999999999574E-2</v>
      </c>
      <c r="AM9" s="19"/>
      <c r="AN9" s="147">
        <f t="shared" ref="AN9:AN11" si="14">((W$6-W9)/W$6)</f>
        <v>-6.6666666666666558E-3</v>
      </c>
      <c r="AO9" s="135">
        <f t="shared" ref="AO9:AT9" si="15">((X$6-X9)/X$6)</f>
        <v>2.4848766868310859E-2</v>
      </c>
      <c r="AP9" s="135">
        <f t="shared" si="15"/>
        <v>2.4354106861746546E-2</v>
      </c>
      <c r="AQ9" s="135">
        <f t="shared" si="15"/>
        <v>1.770297375076307E-2</v>
      </c>
      <c r="AR9" s="135">
        <f t="shared" si="15"/>
        <v>5.2518664721530973E-2</v>
      </c>
      <c r="AS9" s="135">
        <f t="shared" si="15"/>
        <v>6.1231281198003321E-2</v>
      </c>
      <c r="AT9" s="148">
        <f t="shared" si="15"/>
        <v>5.1489146895507237E-2</v>
      </c>
      <c r="AV9" s="19"/>
      <c r="AW9" s="19"/>
      <c r="AX9" s="19"/>
      <c r="AY9" s="19"/>
      <c r="AZ9" s="19"/>
      <c r="BA9" s="19"/>
      <c r="BB9" s="19"/>
      <c r="BC9" s="19"/>
      <c r="BD9" s="15"/>
      <c r="BE9" s="15"/>
      <c r="BF9" s="135"/>
      <c r="BG9" s="135"/>
      <c r="BH9" s="135"/>
      <c r="BI9" s="135"/>
      <c r="BJ9" s="135"/>
      <c r="BK9" s="135"/>
      <c r="BL9" s="15"/>
    </row>
    <row r="10" spans="2:64" x14ac:dyDescent="0.25">
      <c r="E10" s="15"/>
      <c r="F10" s="15"/>
      <c r="G10" s="15"/>
      <c r="H10" s="15"/>
      <c r="V10" s="137" t="s">
        <v>71</v>
      </c>
      <c r="W10" s="123">
        <f>AVERAGE(K7:L7)</f>
        <v>42.400999999999996</v>
      </c>
      <c r="X10" s="19">
        <f>AVERAGE(K16:L16)</f>
        <v>46.495000000000005</v>
      </c>
      <c r="Y10" s="19">
        <f>AVERAGE(K25:L25)</f>
        <v>49.59</v>
      </c>
      <c r="Z10" s="19">
        <f>AVERAGE(K34:L34)</f>
        <v>58.49</v>
      </c>
      <c r="AA10" s="19">
        <f>AVERAGE(K44:L44)</f>
        <v>53.674999999999997</v>
      </c>
      <c r="AB10" s="19">
        <f>AVERAGE(K52:L52)</f>
        <v>55.67</v>
      </c>
      <c r="AC10" s="124">
        <f>AVERAGE(K60:L60)</f>
        <v>55.95</v>
      </c>
      <c r="AF10" s="123">
        <f>STDEV(K7:L7)/SQRT(2)</f>
        <v>0.13099999999999667</v>
      </c>
      <c r="AG10" s="19">
        <f>STDEV(K16:L16)/SQRT(2)</f>
        <v>0.43499999999999872</v>
      </c>
      <c r="AH10" s="19">
        <f>STDEV(K25:L25)/SQRT(2)</f>
        <v>1.0000000000001563E-2</v>
      </c>
      <c r="AI10" s="19">
        <f>STDEV(K34:L34)/SQRT(2)</f>
        <v>0.14999999999999855</v>
      </c>
      <c r="AJ10" s="19">
        <f>STDEV(I44:J44)/SQRT(2)</f>
        <v>0.33500000000000085</v>
      </c>
      <c r="AK10" s="19">
        <f>STDEV(I52:J52)/SQRT(2)</f>
        <v>0.14000000000000054</v>
      </c>
      <c r="AL10" s="124">
        <f>STDEV(K60:L60)/SQRT(2)</f>
        <v>0</v>
      </c>
      <c r="AM10" s="19"/>
      <c r="AN10" s="147">
        <f t="shared" si="14"/>
        <v>0.21479629629629637</v>
      </c>
      <c r="AO10" s="135">
        <f>((X$6-X10)/X$6)</f>
        <v>0.13457422056770585</v>
      </c>
      <c r="AP10" s="135">
        <f>((Y$6-Y10)/Y$6)</f>
        <v>8.158162792851191E-2</v>
      </c>
      <c r="AQ10" s="143">
        <v>0</v>
      </c>
      <c r="AR10" s="135">
        <f t="shared" ref="AR10:AT11" si="16">((AA$6-AA10)/AA$6)</f>
        <v>7.8777997082296464E-2</v>
      </c>
      <c r="AS10" s="135">
        <f t="shared" si="16"/>
        <v>7.3710482529118132E-2</v>
      </c>
      <c r="AT10" s="148">
        <f t="shared" si="16"/>
        <v>5.8556284704694546E-2</v>
      </c>
      <c r="AV10" s="19"/>
      <c r="AW10" s="19"/>
      <c r="AX10" s="19"/>
      <c r="AY10" s="19"/>
      <c r="AZ10" s="19"/>
      <c r="BA10" s="19"/>
      <c r="BB10" s="19"/>
      <c r="BC10" s="19"/>
      <c r="BD10" s="15"/>
      <c r="BE10" s="15"/>
      <c r="BF10" s="135"/>
      <c r="BG10" s="135"/>
      <c r="BH10" s="135"/>
      <c r="BI10" s="135"/>
      <c r="BJ10" s="135"/>
      <c r="BK10" s="135"/>
      <c r="BL10" s="15"/>
    </row>
    <row r="11" spans="2:64" ht="15.75" thickBot="1" x14ac:dyDescent="0.3">
      <c r="V11" s="137" t="s">
        <v>72</v>
      </c>
      <c r="W11" s="123">
        <f>AVERAGE(M7:N7)</f>
        <v>36.411999999999999</v>
      </c>
      <c r="X11" s="19">
        <f>AVERAGE(M16:N16)</f>
        <v>45.97</v>
      </c>
      <c r="Y11" s="19">
        <f>AVERAGE(M25:N25)</f>
        <v>49.125</v>
      </c>
      <c r="Z11" s="19">
        <f>AVERAGE(M34:N34)</f>
        <v>53.894999999999996</v>
      </c>
      <c r="AA11" s="19">
        <f>AVERAGE(M44:N44)</f>
        <v>53.22</v>
      </c>
      <c r="AB11" s="19">
        <f>AVERAGE(M52:N52)</f>
        <v>54.11</v>
      </c>
      <c r="AC11" s="124">
        <f>AVERAGE(M60:N60)</f>
        <v>54.885000000000005</v>
      </c>
      <c r="AF11" s="123">
        <f>STDEV(M7:N7)/SQRT(2)</f>
        <v>0.62800000000000011</v>
      </c>
      <c r="AG11" s="19">
        <f>STDEV(M16:N16)/SQRT(2)</f>
        <v>8.9999999999999858E-2</v>
      </c>
      <c r="AH11" s="19">
        <f>STDEV(M25:N25)/SQRT(2)</f>
        <v>0.19500000000000028</v>
      </c>
      <c r="AI11" s="19">
        <f>STDEV(M34:N34)/SQRT(2)</f>
        <v>1.4999999999997014E-2</v>
      </c>
      <c r="AJ11" s="19">
        <f>STDEV(M44:N44)/SQRT(2)</f>
        <v>0.16000000000000014</v>
      </c>
      <c r="AK11" s="19">
        <f>STDEV(K52:L52)/SQRT(2)</f>
        <v>0.19999999999999929</v>
      </c>
      <c r="AL11" s="124">
        <f>STDEV(M60:N60)/SQRT(2)</f>
        <v>0.14499999999999957</v>
      </c>
      <c r="AM11" s="19"/>
      <c r="AN11" s="147">
        <f t="shared" si="14"/>
        <v>0.32570370370370372</v>
      </c>
      <c r="AO11" s="135">
        <f>((X$6-X11)/X$6)</f>
        <v>0.14434620753839</v>
      </c>
      <c r="AP11" s="135">
        <f>((Y$6-Y11)/Y$6)</f>
        <v>9.0193536438559208E-2</v>
      </c>
      <c r="AQ11" s="135">
        <f>((Z$6-Z11)/Z$6)</f>
        <v>5.9998255864655181E-2</v>
      </c>
      <c r="AR11" s="135">
        <f t="shared" si="16"/>
        <v>8.6587144941216887E-2</v>
      </c>
      <c r="AS11" s="135">
        <f t="shared" si="16"/>
        <v>9.9667221297836964E-2</v>
      </c>
      <c r="AT11" s="148">
        <f t="shared" si="16"/>
        <v>7.6476527006562253E-2</v>
      </c>
      <c r="AV11" s="19"/>
      <c r="AW11" s="19"/>
      <c r="AX11" s="19"/>
      <c r="AY11" s="19"/>
      <c r="AZ11" s="19"/>
      <c r="BA11" s="19"/>
      <c r="BB11" s="19"/>
      <c r="BC11" s="19"/>
      <c r="BD11" s="15"/>
      <c r="BE11" s="15"/>
      <c r="BF11" s="135"/>
      <c r="BG11" s="135"/>
      <c r="BH11" s="135"/>
      <c r="BI11" s="135"/>
      <c r="BJ11" s="135"/>
      <c r="BK11" s="135"/>
      <c r="BL11" s="15"/>
    </row>
    <row r="12" spans="2:64" ht="21.75" thickBot="1" x14ac:dyDescent="0.4">
      <c r="C12" s="181" t="s">
        <v>52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3"/>
      <c r="V12" s="137" t="s">
        <v>74</v>
      </c>
      <c r="W12" s="123">
        <f>AVERAGE(O7:P7)</f>
        <v>33.004999999999995</v>
      </c>
      <c r="X12" s="19">
        <f>AVERAGE(O16:P16)</f>
        <v>35</v>
      </c>
      <c r="Y12" s="19">
        <f>AVERAGE(O25:P25)</f>
        <v>38.97</v>
      </c>
      <c r="Z12" s="19">
        <f>AVERAGE(O34:P34)</f>
        <v>37.215000000000003</v>
      </c>
      <c r="AA12" s="19">
        <f>AVERAGE(O44:P44)</f>
        <v>40.69</v>
      </c>
      <c r="AB12" s="19">
        <f>AVERAGE(O52:P52)</f>
        <v>34.105000000000004</v>
      </c>
      <c r="AC12" s="124">
        <f>AVERAGE(O60:P60)</f>
        <v>39.01</v>
      </c>
      <c r="AF12" s="123">
        <f>STDEV(O7:P7)/SQRT(2)</f>
        <v>0.45500000000000185</v>
      </c>
      <c r="AG12" s="19">
        <f>STDEV(O16:P16)/SQRT(2)</f>
        <v>0.57000000000000017</v>
      </c>
      <c r="AH12" s="19">
        <f>STDEV(O25:P25)/SQRT(2)</f>
        <v>0.68999999999999762</v>
      </c>
      <c r="AI12" s="19">
        <f>STDEV(O34:P34)/SQRT(2)</f>
        <v>1.4999999999997014E-2</v>
      </c>
      <c r="AJ12" s="19">
        <f>STDEV(O44:P44)/SQRT(2)</f>
        <v>0</v>
      </c>
      <c r="AK12" s="19">
        <f>STDEV(M52:N52)/SQRT(2)</f>
        <v>0.46000000000000085</v>
      </c>
      <c r="AL12" s="124">
        <f>STDEV(O60:P60)/SQRT(2)</f>
        <v>0</v>
      </c>
      <c r="AM12" s="19"/>
      <c r="AN12" s="147">
        <f>((W$7-W12)/W$7)</f>
        <v>7.9246516487486832E-2</v>
      </c>
      <c r="AO12" s="135">
        <f>((X$7-X12)/X$7)</f>
        <v>1.5920743385463773E-2</v>
      </c>
      <c r="AP12" s="143">
        <v>0</v>
      </c>
      <c r="AQ12" s="135">
        <f>((Z$7-Z12)/Z$7)</f>
        <v>1.9496772493742456E-2</v>
      </c>
      <c r="AR12" s="135">
        <f>((AA$7-AA12)/AA$7)</f>
        <v>2.2931924600792374E-2</v>
      </c>
      <c r="AS12" s="135">
        <f>((AB$7-AB12)/AB$7)</f>
        <v>-4.2697290930507397E-3</v>
      </c>
      <c r="AT12" s="148">
        <f>((AC$7-AC12)/AC$7)</f>
        <v>6.7192730750836968E-2</v>
      </c>
      <c r="AV12" s="19"/>
      <c r="AW12" s="19"/>
      <c r="AX12" s="19"/>
      <c r="AY12" s="19"/>
      <c r="AZ12" s="19"/>
      <c r="BA12" s="19"/>
      <c r="BB12" s="19"/>
      <c r="BC12" s="19"/>
      <c r="BD12" s="15"/>
      <c r="BE12" s="15"/>
      <c r="BF12" s="135"/>
      <c r="BG12" s="135"/>
      <c r="BH12" s="135"/>
      <c r="BI12" s="135"/>
      <c r="BJ12" s="135"/>
      <c r="BK12" s="135"/>
      <c r="BL12" s="15"/>
    </row>
    <row r="13" spans="2:64" ht="24" customHeight="1" thickBot="1" x14ac:dyDescent="0.3">
      <c r="B13" s="20"/>
      <c r="C13" s="28" t="s">
        <v>37</v>
      </c>
      <c r="D13" s="30" t="s">
        <v>38</v>
      </c>
      <c r="E13" s="28" t="s">
        <v>76</v>
      </c>
      <c r="F13" s="30" t="s">
        <v>64</v>
      </c>
      <c r="G13" s="28" t="s">
        <v>39</v>
      </c>
      <c r="H13" s="30" t="s">
        <v>40</v>
      </c>
      <c r="I13" s="28" t="s">
        <v>41</v>
      </c>
      <c r="J13" s="30" t="s">
        <v>42</v>
      </c>
      <c r="K13" s="28" t="s">
        <v>43</v>
      </c>
      <c r="L13" s="30" t="s">
        <v>44</v>
      </c>
      <c r="M13" s="28" t="s">
        <v>45</v>
      </c>
      <c r="N13" s="30" t="s">
        <v>46</v>
      </c>
      <c r="O13" s="28" t="s">
        <v>49</v>
      </c>
      <c r="P13" s="30" t="s">
        <v>50</v>
      </c>
      <c r="Q13" s="29" t="s">
        <v>47</v>
      </c>
      <c r="R13" s="30" t="s">
        <v>48</v>
      </c>
      <c r="V13" s="138" t="s">
        <v>73</v>
      </c>
      <c r="W13" s="125">
        <f>AVERAGE(Q7:R7)</f>
        <v>25.825000000000003</v>
      </c>
      <c r="X13" s="126">
        <f>AVERAGE(Q16:R16)</f>
        <v>33.515000000000001</v>
      </c>
      <c r="Y13" s="126">
        <f>AVERAGE(Q25:R25)</f>
        <v>34.594999999999999</v>
      </c>
      <c r="Z13" s="126">
        <f>AVERAGE(Q34:R34)</f>
        <v>38.880000000000003</v>
      </c>
      <c r="AA13" s="126">
        <f>AVERAGE(Q44:R44)</f>
        <v>33.674999999999997</v>
      </c>
      <c r="AB13" s="126">
        <f>AVERAGE(Q52:R52)</f>
        <v>28.105</v>
      </c>
      <c r="AC13" s="127">
        <f>AVERAGE(Q60:R60)</f>
        <v>38.97</v>
      </c>
      <c r="AF13" s="125">
        <f>STDEV(Q7:R7)/SQRT(2)</f>
        <v>0.34500000000000058</v>
      </c>
      <c r="AG13" s="126">
        <f>STDEV(Q16:R16)/SQRT(2)</f>
        <v>8.5000000000000853E-2</v>
      </c>
      <c r="AH13" s="126">
        <f>STDEV(Q25:R25)/SQRT(2)</f>
        <v>3.5000000000000135E-2</v>
      </c>
      <c r="AI13" s="126" t="e">
        <f>STDEV(Q34:R34)/SQRT(2)</f>
        <v>#DIV/0!</v>
      </c>
      <c r="AJ13" s="126">
        <f>STDEV(Q44:R44)/SQRT(2)</f>
        <v>5.4999999999999716E-2</v>
      </c>
      <c r="AK13" s="126">
        <f>STDEV(Q52:R52)/SQRT(2)</f>
        <v>0.15500000000000114</v>
      </c>
      <c r="AL13" s="127">
        <f>STDEV(Q60:R60)/SQRT(2)</f>
        <v>0.35999999999999943</v>
      </c>
      <c r="AM13" s="19"/>
      <c r="AN13" s="149">
        <f>((W$7-W13)/W$7)</f>
        <v>0.27954980422024972</v>
      </c>
      <c r="AO13" s="150">
        <f>((X$7-X13)/X$7)</f>
        <v>5.7673820416109078E-2</v>
      </c>
      <c r="AP13" s="150">
        <f>((Y$7-Y13)/Y$7)</f>
        <v>3.2137846158665308E-2</v>
      </c>
      <c r="AQ13" s="151">
        <v>0</v>
      </c>
      <c r="AR13" s="150">
        <f>((AA$7-AA13)/AA$7)</f>
        <v>0.19137951734902148</v>
      </c>
      <c r="AS13" s="150">
        <f>((AB$7-AB13)/AB$7)</f>
        <v>0.17240871613663133</v>
      </c>
      <c r="AT13" s="152">
        <f>((AC$7-AC13)/AC$7)</f>
        <v>6.8149210903873783E-2</v>
      </c>
      <c r="AV13" s="19"/>
      <c r="AW13" s="19"/>
      <c r="AX13" s="19"/>
      <c r="AY13" s="19"/>
      <c r="AZ13" s="19"/>
      <c r="BA13" s="19"/>
      <c r="BB13" s="19"/>
      <c r="BC13" s="19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2:64" x14ac:dyDescent="0.25">
      <c r="B14" s="20"/>
      <c r="C14" s="184" t="s">
        <v>57</v>
      </c>
      <c r="D14" s="185"/>
      <c r="E14" s="184" t="s">
        <v>57</v>
      </c>
      <c r="F14" s="185"/>
      <c r="G14" s="184" t="s">
        <v>57</v>
      </c>
      <c r="H14" s="185"/>
      <c r="I14" s="184" t="s">
        <v>57</v>
      </c>
      <c r="J14" s="185"/>
      <c r="K14" s="184" t="s">
        <v>57</v>
      </c>
      <c r="L14" s="185"/>
      <c r="M14" s="184" t="s">
        <v>57</v>
      </c>
      <c r="N14" s="185"/>
      <c r="O14" s="184" t="s">
        <v>57</v>
      </c>
      <c r="P14" s="185"/>
      <c r="Q14" s="184" t="s">
        <v>57</v>
      </c>
      <c r="R14" s="185"/>
      <c r="AP14" s="20"/>
      <c r="AQ14" s="15">
        <v>0</v>
      </c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2:64" ht="15.75" thickBot="1" x14ac:dyDescent="0.3">
      <c r="B15" s="20"/>
      <c r="C15" s="31" t="s">
        <v>58</v>
      </c>
      <c r="D15" s="32" t="s">
        <v>59</v>
      </c>
      <c r="E15" s="31" t="s">
        <v>58</v>
      </c>
      <c r="F15" s="32" t="s">
        <v>59</v>
      </c>
      <c r="G15" s="31" t="s">
        <v>58</v>
      </c>
      <c r="H15" s="32" t="s">
        <v>59</v>
      </c>
      <c r="I15" s="31" t="s">
        <v>58</v>
      </c>
      <c r="J15" s="32" t="s">
        <v>59</v>
      </c>
      <c r="K15" s="31" t="s">
        <v>58</v>
      </c>
      <c r="L15" s="32" t="s">
        <v>59</v>
      </c>
      <c r="M15" s="31" t="s">
        <v>58</v>
      </c>
      <c r="N15" s="32" t="s">
        <v>59</v>
      </c>
      <c r="O15" s="31" t="s">
        <v>58</v>
      </c>
      <c r="P15" s="32" t="s">
        <v>59</v>
      </c>
      <c r="Q15" s="31" t="s">
        <v>58</v>
      </c>
      <c r="R15" s="32" t="s">
        <v>59</v>
      </c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</row>
    <row r="16" spans="2:64" x14ac:dyDescent="0.25">
      <c r="B16" s="22" t="s">
        <v>53</v>
      </c>
      <c r="C16" s="39">
        <v>54.1</v>
      </c>
      <c r="D16" s="40">
        <v>53.35</v>
      </c>
      <c r="E16" s="39">
        <v>35.912023101155057</v>
      </c>
      <c r="F16" s="40">
        <v>35.220458891013379</v>
      </c>
      <c r="G16" s="41">
        <v>53.11</v>
      </c>
      <c r="H16" s="40">
        <v>52.05</v>
      </c>
      <c r="I16" s="41">
        <v>52.46</v>
      </c>
      <c r="J16" s="40">
        <v>52.32</v>
      </c>
      <c r="K16" s="41">
        <v>46.06</v>
      </c>
      <c r="L16" s="40">
        <v>46.93</v>
      </c>
      <c r="M16" s="41">
        <v>45.88</v>
      </c>
      <c r="N16" s="40">
        <v>46.06</v>
      </c>
      <c r="O16" s="41">
        <v>35.57</v>
      </c>
      <c r="P16" s="40">
        <v>34.43</v>
      </c>
      <c r="Q16" s="42">
        <v>33.6</v>
      </c>
      <c r="R16" s="43">
        <v>33.43</v>
      </c>
      <c r="AP16" s="15"/>
      <c r="AQ16" s="24"/>
      <c r="AR16" s="24"/>
      <c r="AS16" s="24"/>
      <c r="AT16" s="24"/>
      <c r="AU16" s="24"/>
      <c r="AV16" s="24"/>
      <c r="AW16" s="24"/>
      <c r="AX16" s="15"/>
      <c r="AY16" s="24"/>
      <c r="AZ16" s="24"/>
      <c r="BA16" s="24"/>
      <c r="BB16" s="24"/>
      <c r="BC16" s="24"/>
      <c r="BD16" s="24"/>
      <c r="BE16" s="24"/>
      <c r="BF16" s="15"/>
    </row>
    <row r="17" spans="2:58" ht="15.75" thickBot="1" x14ac:dyDescent="0.3">
      <c r="B17" s="23" t="s">
        <v>54</v>
      </c>
      <c r="C17" s="44">
        <v>24.13</v>
      </c>
      <c r="D17" s="45">
        <v>24.37</v>
      </c>
      <c r="E17" s="44">
        <v>13.108459459459459</v>
      </c>
      <c r="F17" s="45">
        <v>13.17883714628576</v>
      </c>
      <c r="G17" s="46">
        <v>24.1</v>
      </c>
      <c r="H17" s="45">
        <v>23.9</v>
      </c>
      <c r="I17" s="46">
        <v>24.25</v>
      </c>
      <c r="J17" s="45">
        <v>24.6</v>
      </c>
      <c r="K17" s="46">
        <v>24.61</v>
      </c>
      <c r="L17" s="45">
        <v>24.63</v>
      </c>
      <c r="M17" s="46">
        <v>24.25</v>
      </c>
      <c r="N17" s="45">
        <v>23.85</v>
      </c>
      <c r="O17" s="46">
        <v>14.23</v>
      </c>
      <c r="P17" s="45">
        <v>13.93</v>
      </c>
      <c r="Q17" s="47">
        <v>17.55</v>
      </c>
      <c r="R17" s="48">
        <v>17.5</v>
      </c>
      <c r="AP17" s="20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</row>
    <row r="18" spans="2:58" ht="15.75" thickBot="1" x14ac:dyDescent="0.3">
      <c r="B18" s="21" t="s">
        <v>55</v>
      </c>
      <c r="C18" s="33">
        <f>C16-C17</f>
        <v>29.970000000000002</v>
      </c>
      <c r="D18" s="34">
        <f t="shared" ref="D18" si="17">D16-D17</f>
        <v>28.98</v>
      </c>
      <c r="E18" s="35">
        <v>22.890019206145965</v>
      </c>
      <c r="F18" s="34">
        <v>21.951913430293082</v>
      </c>
      <c r="G18" s="35">
        <f t="shared" ref="G18" si="18">G16-G17</f>
        <v>29.009999999999998</v>
      </c>
      <c r="H18" s="34">
        <f t="shared" ref="H18" si="19">H16-H17</f>
        <v>28.15</v>
      </c>
      <c r="I18" s="35">
        <f t="shared" ref="I18" si="20">I16-I17</f>
        <v>28.21</v>
      </c>
      <c r="J18" s="34">
        <f t="shared" ref="J18" si="21">J16-J17</f>
        <v>27.72</v>
      </c>
      <c r="K18" s="35">
        <f t="shared" ref="K18" si="22">K16-K17</f>
        <v>21.450000000000003</v>
      </c>
      <c r="L18" s="34">
        <f t="shared" ref="L18" si="23">L16-L17</f>
        <v>22.3</v>
      </c>
      <c r="M18" s="35">
        <f t="shared" ref="M18" si="24">M16-M17</f>
        <v>21.630000000000003</v>
      </c>
      <c r="N18" s="34">
        <f t="shared" ref="N18" si="25">N16-N17</f>
        <v>22.21</v>
      </c>
      <c r="O18" s="35">
        <f t="shared" ref="O18" si="26">O16-O17</f>
        <v>21.34</v>
      </c>
      <c r="P18" s="34">
        <f t="shared" ref="P18" si="27">P16-P17</f>
        <v>20.5</v>
      </c>
      <c r="Q18" s="36">
        <f t="shared" ref="Q18" si="28">Q16-Q17</f>
        <v>16.05</v>
      </c>
      <c r="R18" s="37">
        <f t="shared" ref="R18" si="29">R16-R17</f>
        <v>15.93</v>
      </c>
      <c r="W18" s="186" t="s">
        <v>68</v>
      </c>
      <c r="X18" s="187"/>
      <c r="Y18" s="187"/>
      <c r="Z18" s="187"/>
      <c r="AA18" s="187"/>
      <c r="AB18" s="187"/>
      <c r="AC18" s="188"/>
      <c r="AF18" s="186" t="s">
        <v>61</v>
      </c>
      <c r="AG18" s="187"/>
      <c r="AH18" s="187"/>
      <c r="AI18" s="187"/>
      <c r="AJ18" s="187"/>
      <c r="AK18" s="187"/>
      <c r="AL18" s="188"/>
      <c r="AM18" s="50"/>
      <c r="AN18" s="186" t="s">
        <v>115</v>
      </c>
      <c r="AO18" s="187"/>
      <c r="AP18" s="187"/>
      <c r="AQ18" s="187"/>
      <c r="AR18" s="187"/>
      <c r="AS18" s="187"/>
      <c r="AT18" s="188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2:58" ht="15.75" thickBot="1" x14ac:dyDescent="0.3">
      <c r="B19" s="20"/>
      <c r="C19" s="25"/>
      <c r="D19" s="25"/>
      <c r="E19" s="15"/>
      <c r="F19" s="25"/>
      <c r="G19" s="15"/>
      <c r="H19" s="25"/>
      <c r="I19" s="15"/>
      <c r="J19" s="25"/>
      <c r="K19" s="15"/>
      <c r="L19" s="25"/>
      <c r="M19" s="15"/>
      <c r="N19" s="25"/>
      <c r="O19" s="38"/>
      <c r="P19" s="38"/>
      <c r="W19" s="54">
        <v>0</v>
      </c>
      <c r="X19" s="52">
        <v>6</v>
      </c>
      <c r="Y19" s="54">
        <v>19</v>
      </c>
      <c r="Z19" s="54">
        <v>26</v>
      </c>
      <c r="AA19" s="54">
        <v>34</v>
      </c>
      <c r="AB19" s="54">
        <v>43</v>
      </c>
      <c r="AC19" s="54">
        <v>56</v>
      </c>
      <c r="AD19" s="49"/>
      <c r="AE19" s="49"/>
      <c r="AF19" s="54">
        <v>0</v>
      </c>
      <c r="AG19" s="52">
        <v>6</v>
      </c>
      <c r="AH19" s="54">
        <v>19</v>
      </c>
      <c r="AI19" s="54">
        <v>26</v>
      </c>
      <c r="AJ19" s="54">
        <v>34</v>
      </c>
      <c r="AK19" s="54">
        <v>43</v>
      </c>
      <c r="AL19" s="54">
        <v>56</v>
      </c>
      <c r="AM19" s="142"/>
      <c r="AN19" s="54">
        <v>0</v>
      </c>
      <c r="AO19" s="52">
        <v>6</v>
      </c>
      <c r="AP19" s="54">
        <v>19</v>
      </c>
      <c r="AQ19" s="54">
        <v>26</v>
      </c>
      <c r="AR19" s="54">
        <v>34</v>
      </c>
      <c r="AS19" s="54">
        <v>43</v>
      </c>
      <c r="AT19" s="54">
        <v>56</v>
      </c>
      <c r="AU19" s="15"/>
      <c r="AV19" s="15"/>
      <c r="AW19" s="15"/>
      <c r="AX19" s="15"/>
      <c r="AY19" s="15"/>
      <c r="AZ19" s="15"/>
      <c r="BA19" s="15"/>
      <c r="BB19" s="15"/>
      <c r="BC19" s="15"/>
      <c r="BD19" s="15"/>
    </row>
    <row r="20" spans="2:58" ht="15.75" thickBot="1" x14ac:dyDescent="0.3">
      <c r="B20" s="20"/>
      <c r="C20" s="25"/>
      <c r="D20" s="25"/>
      <c r="K20" s="26"/>
      <c r="L20" s="26"/>
      <c r="W20" s="139" t="s">
        <v>57</v>
      </c>
      <c r="X20" s="140" t="s">
        <v>57</v>
      </c>
      <c r="Y20" s="141" t="s">
        <v>57</v>
      </c>
      <c r="Z20" s="141" t="s">
        <v>57</v>
      </c>
      <c r="AA20" s="141" t="s">
        <v>57</v>
      </c>
      <c r="AB20" s="141" t="s">
        <v>57</v>
      </c>
      <c r="AC20" s="141" t="s">
        <v>57</v>
      </c>
      <c r="AF20" s="51" t="s">
        <v>57</v>
      </c>
      <c r="AG20" s="52" t="s">
        <v>57</v>
      </c>
      <c r="AH20" s="53" t="s">
        <v>57</v>
      </c>
      <c r="AI20" s="53" t="s">
        <v>57</v>
      </c>
      <c r="AJ20" s="53" t="s">
        <v>57</v>
      </c>
      <c r="AK20" s="141" t="s">
        <v>57</v>
      </c>
      <c r="AL20" s="141" t="s">
        <v>57</v>
      </c>
      <c r="AM20" s="142"/>
      <c r="AN20" s="142"/>
      <c r="AO20" s="15"/>
      <c r="AP20" s="15"/>
      <c r="AQ20" s="24"/>
      <c r="AR20" s="24"/>
      <c r="AS20" s="24"/>
      <c r="AT20" s="24"/>
      <c r="AU20" s="15"/>
      <c r="AV20" s="15"/>
      <c r="AW20" s="15"/>
      <c r="AX20" s="15"/>
      <c r="AY20" s="15"/>
      <c r="AZ20" s="15"/>
      <c r="BA20" s="15"/>
      <c r="BB20" s="15"/>
      <c r="BC20" s="15"/>
      <c r="BD20" s="15"/>
    </row>
    <row r="21" spans="2:58" ht="21.75" thickBot="1" x14ac:dyDescent="0.4">
      <c r="C21" s="181" t="s">
        <v>56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3"/>
      <c r="V21" s="136" t="s">
        <v>51</v>
      </c>
      <c r="W21" s="120">
        <f>AVERAGE(C8:D8)</f>
        <v>23.27</v>
      </c>
      <c r="X21" s="121">
        <f>AVERAGE(C17:D17)</f>
        <v>24.25</v>
      </c>
      <c r="Y21" s="121">
        <f>AVERAGE(C26:D26)</f>
        <v>24.614999999999998</v>
      </c>
      <c r="Z21" s="121">
        <f>AVERAGE(C35:D35)</f>
        <v>25.866499999999998</v>
      </c>
      <c r="AA21" s="121">
        <f>AVERAGE(C45:D45)</f>
        <v>26.82</v>
      </c>
      <c r="AB21" s="121">
        <f>AVERAGE(C53:D53)</f>
        <v>26.125</v>
      </c>
      <c r="AC21" s="122">
        <f>AVERAGE(C61:D61)</f>
        <v>26.715</v>
      </c>
      <c r="AD21" s="2"/>
      <c r="AE21" s="2"/>
      <c r="AF21" s="120" t="e">
        <f>STDEV(C8:D8)/SQRT(2)</f>
        <v>#DIV/0!</v>
      </c>
      <c r="AG21" s="121">
        <f>STDEV(C17:D17)/SQRT(2)</f>
        <v>0.12000000000000098</v>
      </c>
      <c r="AH21" s="121">
        <f>STDEV(C26:D26)/SQRT(2)</f>
        <v>3.5000000000000135E-2</v>
      </c>
      <c r="AI21" s="121">
        <f>STDEV(C35:D35)/SQRT(2)</f>
        <v>3.3500000000000078E-2</v>
      </c>
      <c r="AJ21" s="121">
        <f>STDEV(C45:D45)/SQRT(2)</f>
        <v>8.0000000000000071E-2</v>
      </c>
      <c r="AK21" s="121">
        <f>STDEV(C52:D52)/SQRT(2)</f>
        <v>0.25</v>
      </c>
      <c r="AL21" s="122">
        <f>STDEV(C61:D61)/SQRT(2)</f>
        <v>4.9999999999990052E-3</v>
      </c>
      <c r="AM21" s="19"/>
      <c r="AN21" s="19"/>
      <c r="AO21" s="15"/>
      <c r="AP21" s="20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</row>
    <row r="22" spans="2:58" ht="23.25" customHeight="1" thickBot="1" x14ac:dyDescent="0.3">
      <c r="B22" s="20"/>
      <c r="C22" s="28" t="s">
        <v>37</v>
      </c>
      <c r="D22" s="30" t="s">
        <v>38</v>
      </c>
      <c r="E22" s="28" t="s">
        <v>76</v>
      </c>
      <c r="F22" s="30" t="s">
        <v>64</v>
      </c>
      <c r="G22" s="28" t="s">
        <v>39</v>
      </c>
      <c r="H22" s="30" t="s">
        <v>40</v>
      </c>
      <c r="I22" s="28" t="s">
        <v>41</v>
      </c>
      <c r="J22" s="30" t="s">
        <v>42</v>
      </c>
      <c r="K22" s="28" t="s">
        <v>43</v>
      </c>
      <c r="L22" s="30" t="s">
        <v>44</v>
      </c>
      <c r="M22" s="28" t="s">
        <v>45</v>
      </c>
      <c r="N22" s="30" t="s">
        <v>46</v>
      </c>
      <c r="O22" s="28" t="s">
        <v>49</v>
      </c>
      <c r="P22" s="30" t="s">
        <v>50</v>
      </c>
      <c r="Q22" s="29" t="s">
        <v>47</v>
      </c>
      <c r="R22" s="30" t="s">
        <v>48</v>
      </c>
      <c r="V22" s="137" t="s">
        <v>77</v>
      </c>
      <c r="W22" s="123">
        <f>AVERAGE(E8:F8)</f>
        <v>12.641270270270271</v>
      </c>
      <c r="X22" s="19">
        <f>AVERAGE(E17:F17)</f>
        <v>13.143648302872609</v>
      </c>
      <c r="Y22" s="19">
        <f>AVERAGE(E26:F26)</f>
        <v>13.341673569109698</v>
      </c>
      <c r="Z22" s="19">
        <f>AVERAGE(E35:F35)</f>
        <v>14.02</v>
      </c>
      <c r="AA22" s="19">
        <f>AVERAGE(E45:F45)</f>
        <v>14.164999999999999</v>
      </c>
      <c r="AB22" s="19">
        <f>AVERAGE(E53:F53)</f>
        <v>11.87</v>
      </c>
      <c r="AC22" s="124">
        <f>AVERAGE(E61:F61)</f>
        <v>15.440000000000001</v>
      </c>
      <c r="AD22" s="2"/>
      <c r="AE22" s="2"/>
      <c r="AF22" s="123" t="e">
        <f>STDEV(E8:F8)/SQRT(2)</f>
        <v>#DIV/0!</v>
      </c>
      <c r="AG22" s="19">
        <f>STDEV(E17:F17)/SQRT(2)</f>
        <v>3.518884341315065E-2</v>
      </c>
      <c r="AH22" s="19">
        <f>STDEV(E26:F26)/SQRT(2)</f>
        <v>4.9272376836248633E-2</v>
      </c>
      <c r="AI22" s="19">
        <f>STDEV(E35:F35)/SQRT(2)</f>
        <v>4.9999999999999822E-2</v>
      </c>
      <c r="AJ22" s="19">
        <f>STDEV(E45:F45)/SQRT(2)</f>
        <v>5.5000000000000604E-2</v>
      </c>
      <c r="AK22" s="19">
        <f>STDEV(E52:F52)/SQRT(2)</f>
        <v>0.1899999999999977</v>
      </c>
      <c r="AL22" s="124">
        <f>STDEV(E61:F61)/SQRT(2)</f>
        <v>2.0000000000000462E-2</v>
      </c>
      <c r="AM22" s="19"/>
      <c r="AN22" s="19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</row>
    <row r="23" spans="2:58" x14ac:dyDescent="0.25">
      <c r="B23" s="20"/>
      <c r="C23" s="184" t="s">
        <v>57</v>
      </c>
      <c r="D23" s="185"/>
      <c r="E23" s="184" t="s">
        <v>57</v>
      </c>
      <c r="F23" s="185"/>
      <c r="G23" s="184" t="s">
        <v>57</v>
      </c>
      <c r="H23" s="185"/>
      <c r="I23" s="184" t="s">
        <v>57</v>
      </c>
      <c r="J23" s="185"/>
      <c r="K23" s="184" t="s">
        <v>57</v>
      </c>
      <c r="L23" s="185"/>
      <c r="M23" s="184" t="s">
        <v>57</v>
      </c>
      <c r="N23" s="185"/>
      <c r="O23" s="184" t="s">
        <v>57</v>
      </c>
      <c r="P23" s="185"/>
      <c r="Q23" s="184" t="s">
        <v>57</v>
      </c>
      <c r="R23" s="185"/>
      <c r="V23" s="137" t="s">
        <v>18</v>
      </c>
      <c r="W23" s="123">
        <f>AVERAGE(G8:H8)</f>
        <v>22.58</v>
      </c>
      <c r="X23" s="19">
        <f>AVERAGE(I17:J17)</f>
        <v>24.425000000000001</v>
      </c>
      <c r="Y23" s="19">
        <f>AVERAGE(G26:H26)</f>
        <v>24.215</v>
      </c>
      <c r="Z23" s="19">
        <f>AVERAGE(G35:H35)</f>
        <v>26.27</v>
      </c>
      <c r="AA23" s="19">
        <f>AVERAGE(G45:H45)</f>
        <v>26.64</v>
      </c>
      <c r="AB23" s="19">
        <f>AVERAGE(G53:H53)</f>
        <v>26.549999999999997</v>
      </c>
      <c r="AC23" s="124">
        <f>AVERAGE(G61:H61)</f>
        <v>26.560000000000002</v>
      </c>
      <c r="AD23" s="2"/>
      <c r="AE23" s="2"/>
      <c r="AF23" s="123" t="e">
        <f>STDEV(G8:H8)/SQRT(2)</f>
        <v>#DIV/0!</v>
      </c>
      <c r="AG23" s="19">
        <f>STDEV(G17:H17)/SQRT(2)</f>
        <v>0.10000000000000142</v>
      </c>
      <c r="AH23" s="19">
        <f>STDEV(G26:H26)/SQRT(2)</f>
        <v>5.4999999999999716E-2</v>
      </c>
      <c r="AI23" s="19">
        <f>STDEV(G35:H35)/SQRT(2)</f>
        <v>8.9999999999999858E-2</v>
      </c>
      <c r="AJ23" s="19">
        <f>STDEV(G45:H45)/SQRT(2)</f>
        <v>6.000000000000049E-2</v>
      </c>
      <c r="AK23" s="19">
        <f>STDEV(G52:H52)/SQRT(2)</f>
        <v>0.25</v>
      </c>
      <c r="AL23" s="124">
        <f>STDEV(G61:H61)/SQRT(2)</f>
        <v>0.15000000000000036</v>
      </c>
      <c r="AM23" s="19"/>
      <c r="AN23" s="144">
        <f t="shared" ref="AN23:AT23" si="30">((W$21-W23)/W$21)</f>
        <v>2.9651912333476634E-2</v>
      </c>
      <c r="AO23" s="145">
        <f t="shared" si="30"/>
        <v>-7.2164948453608537E-3</v>
      </c>
      <c r="AP23" s="145">
        <f t="shared" si="30"/>
        <v>1.625025391021729E-2</v>
      </c>
      <c r="AQ23" s="145">
        <f t="shared" si="30"/>
        <v>-1.5599327315253363E-2</v>
      </c>
      <c r="AR23" s="145">
        <f t="shared" si="30"/>
        <v>6.7114093959731438E-3</v>
      </c>
      <c r="AS23" s="145">
        <f t="shared" si="30"/>
        <v>-1.6267942583731949E-2</v>
      </c>
      <c r="AT23" s="146">
        <f t="shared" si="30"/>
        <v>5.8019839041735946E-3</v>
      </c>
      <c r="AU23" s="15"/>
      <c r="AV23" s="19"/>
      <c r="AW23" s="19"/>
      <c r="AX23" s="19"/>
      <c r="AY23" s="19"/>
      <c r="AZ23" s="19"/>
      <c r="BA23" s="19"/>
      <c r="BB23" s="19"/>
      <c r="BC23" s="15"/>
      <c r="BD23" s="15"/>
      <c r="BE23" s="15"/>
      <c r="BF23" s="15"/>
    </row>
    <row r="24" spans="2:58" ht="15.75" thickBot="1" x14ac:dyDescent="0.3">
      <c r="B24" s="20"/>
      <c r="C24" s="31" t="s">
        <v>58</v>
      </c>
      <c r="D24" s="32" t="s">
        <v>59</v>
      </c>
      <c r="E24" s="31" t="s">
        <v>58</v>
      </c>
      <c r="F24" s="32" t="s">
        <v>59</v>
      </c>
      <c r="G24" s="31" t="s">
        <v>58</v>
      </c>
      <c r="H24" s="32" t="s">
        <v>59</v>
      </c>
      <c r="I24" s="31" t="s">
        <v>58</v>
      </c>
      <c r="J24" s="32" t="s">
        <v>59</v>
      </c>
      <c r="K24" s="31" t="s">
        <v>58</v>
      </c>
      <c r="L24" s="32" t="s">
        <v>59</v>
      </c>
      <c r="M24" s="31" t="s">
        <v>58</v>
      </c>
      <c r="N24" s="32" t="s">
        <v>59</v>
      </c>
      <c r="O24" s="31" t="s">
        <v>58</v>
      </c>
      <c r="P24" s="32" t="s">
        <v>59</v>
      </c>
      <c r="Q24" s="31" t="s">
        <v>58</v>
      </c>
      <c r="R24" s="32" t="s">
        <v>59</v>
      </c>
      <c r="V24" s="137" t="s">
        <v>19</v>
      </c>
      <c r="W24" s="123">
        <f>AVERAGE(I8:J8)</f>
        <v>22.89</v>
      </c>
      <c r="X24" s="19">
        <f>AVERAGE(K17:L17)</f>
        <v>24.619999999999997</v>
      </c>
      <c r="Y24" s="19">
        <f>AVERAGE(I26:J26)</f>
        <v>24.23</v>
      </c>
      <c r="Z24" s="19">
        <f>AVERAGE(I35:J35)</f>
        <v>26.27</v>
      </c>
      <c r="AA24" s="19">
        <f>AVERAGE(I45:J45)</f>
        <v>26.61</v>
      </c>
      <c r="AB24" s="19">
        <f>AVERAGE(I53:J53)</f>
        <v>26.574999999999999</v>
      </c>
      <c r="AC24" s="124">
        <f>AVERAGE(I61:J61)</f>
        <v>26.435000000000002</v>
      </c>
      <c r="AD24" s="2"/>
      <c r="AE24" s="2"/>
      <c r="AF24" s="123" t="e">
        <f>STDEV(I8:J8)/SQRT(2)</f>
        <v>#DIV/0!</v>
      </c>
      <c r="AG24" s="19">
        <f>STDEV(I17:J17)/SQRT(2)</f>
        <v>0.17500000000000071</v>
      </c>
      <c r="AH24" s="19">
        <f>STDEV(I26:J26)/SQRT(2)</f>
        <v>5.9999999999998714E-2</v>
      </c>
      <c r="AI24" s="19">
        <f>STDEV(I35:J35)/SQRT(2)</f>
        <v>3.9999999999999147E-2</v>
      </c>
      <c r="AJ24" s="19">
        <f>STDEV(I45:J45)/SQRT(2)</f>
        <v>9.9999999999997868E-3</v>
      </c>
      <c r="AK24" s="19">
        <f>STDEV(I52:J52)/SQRT(2)</f>
        <v>0.14000000000000054</v>
      </c>
      <c r="AL24" s="124">
        <f>STDEV(I61:J61)/SQRT(2)</f>
        <v>2.5000000000000355E-2</v>
      </c>
      <c r="AM24" s="19"/>
      <c r="AN24" s="147">
        <f t="shared" ref="AN24:AN26" si="31">((W$21-W24)/W$21)</f>
        <v>1.6330038676407348E-2</v>
      </c>
      <c r="AO24" s="135">
        <f t="shared" ref="AO24:AT26" si="32">((X$21-X24)/X$21)</f>
        <v>-1.5257731958762781E-2</v>
      </c>
      <c r="AP24" s="135">
        <f t="shared" si="32"/>
        <v>1.5640869388584118E-2</v>
      </c>
      <c r="AQ24" s="135">
        <f t="shared" si="32"/>
        <v>-1.5599327315253363E-2</v>
      </c>
      <c r="AR24" s="135">
        <f t="shared" si="32"/>
        <v>7.8299776286353782E-3</v>
      </c>
      <c r="AS24" s="135">
        <f t="shared" si="32"/>
        <v>-1.7224880382775091E-2</v>
      </c>
      <c r="AT24" s="148">
        <f t="shared" si="32"/>
        <v>1.0481003181733018E-2</v>
      </c>
      <c r="AV24" s="19"/>
      <c r="AW24" s="19"/>
      <c r="AX24" s="19"/>
      <c r="AY24" s="19"/>
      <c r="AZ24" s="19"/>
      <c r="BA24" s="19"/>
      <c r="BB24" s="19"/>
    </row>
    <row r="25" spans="2:58" ht="14.25" customHeight="1" x14ac:dyDescent="0.25">
      <c r="B25" s="22" t="s">
        <v>53</v>
      </c>
      <c r="C25" s="39">
        <v>53.68</v>
      </c>
      <c r="D25" s="40">
        <v>54.31</v>
      </c>
      <c r="E25" s="39">
        <v>35.63322366118306</v>
      </c>
      <c r="F25" s="40">
        <v>35.854229097861982</v>
      </c>
      <c r="G25" s="41">
        <v>53.26</v>
      </c>
      <c r="H25" s="40">
        <v>52.97</v>
      </c>
      <c r="I25" s="41">
        <v>52.86</v>
      </c>
      <c r="J25" s="40">
        <v>52.5</v>
      </c>
      <c r="K25" s="41">
        <v>49.58</v>
      </c>
      <c r="L25" s="40">
        <v>49.6</v>
      </c>
      <c r="M25" s="41">
        <v>49.32</v>
      </c>
      <c r="N25" s="40">
        <v>48.93</v>
      </c>
      <c r="O25" s="42">
        <v>38.28</v>
      </c>
      <c r="P25" s="43">
        <v>39.659999999999997</v>
      </c>
      <c r="Q25" s="42">
        <v>34.630000000000003</v>
      </c>
      <c r="R25" s="43">
        <v>34.56</v>
      </c>
      <c r="V25" s="137" t="s">
        <v>20</v>
      </c>
      <c r="W25" s="123">
        <f>AVERAGE(K8:L8)</f>
        <v>23.714500000000001</v>
      </c>
      <c r="X25" s="19">
        <f>AVERAGE(K17:L17)</f>
        <v>24.619999999999997</v>
      </c>
      <c r="Y25" s="19">
        <f>AVERAGE(K26:L26)</f>
        <v>24.604999999999997</v>
      </c>
      <c r="Z25" s="19">
        <f>AVERAGE(K35:L35)</f>
        <v>26.435000000000002</v>
      </c>
      <c r="AA25" s="19">
        <f>AVERAGE(K45:L45)</f>
        <v>27.055</v>
      </c>
      <c r="AB25" s="19">
        <f>AVERAGE(K53:L53)</f>
        <v>26.875</v>
      </c>
      <c r="AC25" s="124">
        <f>AVERAGE(K61:L61)</f>
        <v>26.520000000000003</v>
      </c>
      <c r="AD25" s="2"/>
      <c r="AE25" s="2"/>
      <c r="AF25" s="123">
        <f>STDEV(K8:L8)/SQRT(2)</f>
        <v>1.1954999999999991</v>
      </c>
      <c r="AG25" s="19">
        <f>STDEV(K17:L17)/SQRT(2)</f>
        <v>9.9999999999997868E-3</v>
      </c>
      <c r="AH25" s="19">
        <f>STDEV(K26:L26)/SQRT(2)</f>
        <v>2.5000000000000355E-2</v>
      </c>
      <c r="AI25" s="19">
        <f>STDEV(K35:L35)/SQRT(2)</f>
        <v>5.0000000000007816E-3</v>
      </c>
      <c r="AJ25" s="19">
        <f>STDEV(K5:L45)/SQRT(2)</f>
        <v>9.258319975416482</v>
      </c>
      <c r="AK25" s="19">
        <f>STDEV(K52:L52)/SQRT(2)</f>
        <v>0.19999999999999929</v>
      </c>
      <c r="AL25" s="124">
        <f>STDEV(K61:L61)/SQRT(2)</f>
        <v>8.0000000000000071E-2</v>
      </c>
      <c r="AM25" s="19"/>
      <c r="AN25" s="147">
        <f t="shared" si="31"/>
        <v>-1.9101847872797655E-2</v>
      </c>
      <c r="AO25" s="135">
        <f t="shared" si="32"/>
        <v>-1.5257731958762781E-2</v>
      </c>
      <c r="AP25" s="135">
        <f t="shared" si="32"/>
        <v>4.0625634775549722E-4</v>
      </c>
      <c r="AQ25" s="143">
        <f t="shared" si="32"/>
        <v>-2.1978234395840329E-2</v>
      </c>
      <c r="AR25" s="135">
        <f t="shared" si="32"/>
        <v>-8.7621178225204856E-3</v>
      </c>
      <c r="AS25" s="135">
        <f t="shared" si="32"/>
        <v>-2.8708133971291867E-2</v>
      </c>
      <c r="AT25" s="148">
        <f t="shared" si="32"/>
        <v>7.2992700729925782E-3</v>
      </c>
      <c r="AV25" s="19"/>
      <c r="AW25" s="19"/>
      <c r="AX25" s="19"/>
      <c r="AY25" s="19"/>
      <c r="AZ25" s="19"/>
      <c r="BA25" s="19"/>
      <c r="BB25" s="19"/>
    </row>
    <row r="26" spans="2:58" x14ac:dyDescent="0.25">
      <c r="B26" s="23" t="s">
        <v>54</v>
      </c>
      <c r="C26" s="44">
        <v>24.65</v>
      </c>
      <c r="D26" s="45">
        <v>24.58</v>
      </c>
      <c r="E26" s="44">
        <v>13.390945945945946</v>
      </c>
      <c r="F26" s="45">
        <v>13.292401192273449</v>
      </c>
      <c r="G26" s="46">
        <v>24.16</v>
      </c>
      <c r="H26" s="45">
        <v>24.27</v>
      </c>
      <c r="I26" s="46">
        <v>24.29</v>
      </c>
      <c r="J26" s="45">
        <v>24.17</v>
      </c>
      <c r="K26" s="46">
        <v>24.58</v>
      </c>
      <c r="L26" s="45">
        <v>24.63</v>
      </c>
      <c r="M26" s="46">
        <v>24.81</v>
      </c>
      <c r="N26" s="45">
        <v>24.54</v>
      </c>
      <c r="O26" s="47">
        <v>15.56</v>
      </c>
      <c r="P26" s="48">
        <v>15.82</v>
      </c>
      <c r="Q26" s="47">
        <v>16.59</v>
      </c>
      <c r="R26" s="48">
        <v>16.43</v>
      </c>
      <c r="V26" s="137" t="s">
        <v>21</v>
      </c>
      <c r="W26" s="123">
        <f>AVERAGE(M8:N8)</f>
        <v>18.408999999999999</v>
      </c>
      <c r="X26" s="19">
        <f>AVERAGE(M17:N17)</f>
        <v>24.05</v>
      </c>
      <c r="Y26" s="19">
        <f>AVERAGE(M26:N26)</f>
        <v>24.674999999999997</v>
      </c>
      <c r="Z26" s="19">
        <f>AVERAGE(M35:N35)</f>
        <v>26.414999999999999</v>
      </c>
      <c r="AA26" s="19">
        <f>AVERAGE(M45:N45)</f>
        <v>26.675000000000001</v>
      </c>
      <c r="AB26" s="19">
        <f>AVERAGE(M53:N53)</f>
        <v>26.765000000000001</v>
      </c>
      <c r="AC26" s="124">
        <f>AVERAGE(M61:N61)</f>
        <v>26.43</v>
      </c>
      <c r="AD26" s="2"/>
      <c r="AE26" s="2"/>
      <c r="AF26" s="123">
        <f>STDEV(M8:N8)/SQRT(2)</f>
        <v>0.74099999999999955</v>
      </c>
      <c r="AG26" s="19">
        <f>STDEV(M17:N17)/SQRT(2)</f>
        <v>0.19999999999999929</v>
      </c>
      <c r="AH26" s="19">
        <f>STDEV(M26:N26)/SQRT(2)</f>
        <v>0.13499999999999979</v>
      </c>
      <c r="AI26" s="19">
        <f>STDEV(M35:N35)/SQRT(2)</f>
        <v>2.5000000000000355E-2</v>
      </c>
      <c r="AJ26" s="19">
        <f>STDEV(M45:N45)/SQRT(2)</f>
        <v>8.5000000000000853E-2</v>
      </c>
      <c r="AK26" s="19">
        <f>STDEV(M52:N52)/SQRT(2)</f>
        <v>0.46000000000000085</v>
      </c>
      <c r="AL26" s="124">
        <f>STDEV(M61:N61)/SQRT(2)</f>
        <v>7.000000000000027E-2</v>
      </c>
      <c r="AM26" s="19"/>
      <c r="AN26" s="147">
        <f t="shared" si="31"/>
        <v>0.208895573700043</v>
      </c>
      <c r="AO26" s="135">
        <f t="shared" si="32"/>
        <v>8.2474226804123418E-3</v>
      </c>
      <c r="AP26" s="135">
        <f t="shared" si="32"/>
        <v>-2.4375380865325502E-3</v>
      </c>
      <c r="AQ26" s="135">
        <f t="shared" si="32"/>
        <v>-2.1205033537587254E-2</v>
      </c>
      <c r="AR26" s="135">
        <f t="shared" si="32"/>
        <v>5.4064131245339141E-3</v>
      </c>
      <c r="AS26" s="135">
        <f t="shared" si="32"/>
        <v>-2.4497607655502414E-2</v>
      </c>
      <c r="AT26" s="148">
        <f t="shared" si="32"/>
        <v>1.0668163952835491E-2</v>
      </c>
      <c r="AV26" s="19"/>
      <c r="AW26" s="19"/>
      <c r="AX26" s="19"/>
      <c r="AY26" s="19"/>
      <c r="AZ26" s="19"/>
      <c r="BA26" s="19"/>
      <c r="BB26" s="19"/>
    </row>
    <row r="27" spans="2:58" ht="15.75" thickBot="1" x14ac:dyDescent="0.3">
      <c r="B27" s="21" t="s">
        <v>55</v>
      </c>
      <c r="C27" s="33">
        <f>C25-C26</f>
        <v>29.03</v>
      </c>
      <c r="D27" s="34">
        <f t="shared" ref="D27:R27" si="33">D25-D26</f>
        <v>29.730000000000004</v>
      </c>
      <c r="E27" s="35">
        <v>22.172080665813059</v>
      </c>
      <c r="F27" s="34">
        <v>22.520027131905227</v>
      </c>
      <c r="G27" s="35">
        <f t="shared" si="33"/>
        <v>29.099999999999998</v>
      </c>
      <c r="H27" s="34">
        <f t="shared" si="33"/>
        <v>28.7</v>
      </c>
      <c r="I27" s="35">
        <f t="shared" si="33"/>
        <v>28.57</v>
      </c>
      <c r="J27" s="34">
        <f t="shared" si="33"/>
        <v>28.33</v>
      </c>
      <c r="K27" s="35">
        <f t="shared" si="33"/>
        <v>25</v>
      </c>
      <c r="L27" s="34">
        <f t="shared" si="33"/>
        <v>24.970000000000002</v>
      </c>
      <c r="M27" s="35">
        <f t="shared" si="33"/>
        <v>24.51</v>
      </c>
      <c r="N27" s="34">
        <f t="shared" si="33"/>
        <v>24.39</v>
      </c>
      <c r="O27" s="35">
        <f t="shared" si="33"/>
        <v>22.72</v>
      </c>
      <c r="P27" s="34">
        <f t="shared" si="33"/>
        <v>23.839999999999996</v>
      </c>
      <c r="Q27" s="36">
        <f t="shared" si="33"/>
        <v>18.040000000000003</v>
      </c>
      <c r="R27" s="37">
        <f t="shared" si="33"/>
        <v>18.130000000000003</v>
      </c>
      <c r="V27" s="137" t="s">
        <v>65</v>
      </c>
      <c r="W27" s="123">
        <f>AVERAGE(O8:P8)</f>
        <v>11.280000000000001</v>
      </c>
      <c r="X27" s="19">
        <f>AVERAGE(O17:P17)</f>
        <v>14.08</v>
      </c>
      <c r="Y27" s="19">
        <f>AVERAGE(O26:P26)</f>
        <v>15.690000000000001</v>
      </c>
      <c r="Z27" s="19">
        <f>AVERAGE(O35:P35)</f>
        <v>14.46</v>
      </c>
      <c r="AA27" s="19">
        <f>AVERAGE(O45:P45)</f>
        <v>15.100000000000001</v>
      </c>
      <c r="AB27" s="19">
        <f>AVERAGE(O53:P53)</f>
        <v>12.68</v>
      </c>
      <c r="AC27" s="124">
        <f>AVERAGE(O61:P61)</f>
        <v>15.52</v>
      </c>
      <c r="AD27" s="2"/>
      <c r="AE27" s="2"/>
      <c r="AF27" s="123">
        <f>STDEV(O8:P8)/SQRT(2)</f>
        <v>0.29000000000000004</v>
      </c>
      <c r="AG27" s="19">
        <f>STDEV(O17:P17)/SQRT(2)</f>
        <v>0.15000000000000036</v>
      </c>
      <c r="AH27" s="19">
        <f>STDEV(O26:P26)/SQRT(2)</f>
        <v>0.12999999999999989</v>
      </c>
      <c r="AI27" s="19">
        <f>STDEV(O35:P35)/SQRT(2)</f>
        <v>1.0000000000000673E-2</v>
      </c>
      <c r="AJ27" s="19">
        <f>STDEV(O45:P45)/SQRT(2)</f>
        <v>3.0000000000000245E-2</v>
      </c>
      <c r="AK27" s="19">
        <f>STDEV(O52:P52)/SQRT(2)</f>
        <v>2.5000000000002132E-2</v>
      </c>
      <c r="AL27" s="124">
        <f>STDEV(O61:P61)/SQRT(2)</f>
        <v>8.9999999999999858E-2</v>
      </c>
      <c r="AM27" s="19"/>
      <c r="AN27" s="147">
        <f t="shared" ref="AN27:AT28" si="34">((W$22-W27)/W$22)</f>
        <v>0.10768461089481678</v>
      </c>
      <c r="AO27" s="135">
        <f t="shared" si="34"/>
        <v>-7.1239862445402341E-2</v>
      </c>
      <c r="AP27" s="143">
        <f t="shared" si="34"/>
        <v>-0.17601438220819918</v>
      </c>
      <c r="AQ27" s="135">
        <f t="shared" si="34"/>
        <v>-3.1383737517831758E-2</v>
      </c>
      <c r="AR27" s="135">
        <f t="shared" si="34"/>
        <v>-6.6007765619484807E-2</v>
      </c>
      <c r="AS27" s="135">
        <f t="shared" si="34"/>
        <v>-6.8239258635214878E-2</v>
      </c>
      <c r="AT27" s="148">
        <f t="shared" si="34"/>
        <v>-5.1813471502589565E-3</v>
      </c>
      <c r="AV27" s="19"/>
      <c r="AW27" s="19"/>
      <c r="AX27" s="19"/>
      <c r="AY27" s="19"/>
      <c r="AZ27" s="19"/>
      <c r="BA27" s="19"/>
      <c r="BB27" s="19"/>
    </row>
    <row r="28" spans="2:58" ht="15.75" thickBot="1" x14ac:dyDescent="0.3">
      <c r="C28" s="27"/>
      <c r="E28" s="15"/>
      <c r="F28" s="15"/>
      <c r="G28" s="15"/>
      <c r="H28" s="15"/>
      <c r="V28" s="138" t="s">
        <v>66</v>
      </c>
      <c r="W28" s="125">
        <f>AVERAGE(Q8:R8)</f>
        <v>12.145</v>
      </c>
      <c r="X28" s="126">
        <f>AVERAGE(Q17:R17)</f>
        <v>17.524999999999999</v>
      </c>
      <c r="Y28" s="126">
        <f>AVERAGE(Q26:R26)</f>
        <v>16.509999999999998</v>
      </c>
      <c r="Z28" s="126">
        <f>AVERAGE(Q35:R35)</f>
        <v>18.239999999999998</v>
      </c>
      <c r="AA28" s="126">
        <f>AVERAGE(Q45:R45)</f>
        <v>14.29</v>
      </c>
      <c r="AB28" s="126">
        <f>AVERAGE(Q53:R53)</f>
        <v>11.465</v>
      </c>
      <c r="AC28" s="127">
        <f>AVERAGE(Q61:R61)</f>
        <v>16.325000000000003</v>
      </c>
      <c r="AD28" s="2"/>
      <c r="AE28" s="2"/>
      <c r="AF28" s="125">
        <f>STDEV(Q8:R8)/SQRT(2)</f>
        <v>0.22499999999999962</v>
      </c>
      <c r="AG28" s="126">
        <f>STDEV(Q17:R17)/SQRT(2)</f>
        <v>2.5000000000000355E-2</v>
      </c>
      <c r="AH28" s="126">
        <f>STDEV(Q26:R26)/SQRT(2)</f>
        <v>8.0000000000000071E-2</v>
      </c>
      <c r="AI28" s="126" t="e">
        <f>STDEV(Q35:R35)/SQRT(2)</f>
        <v>#DIV/0!</v>
      </c>
      <c r="AJ28" s="126">
        <f>STDEV(Q45:R45)/SQRT(2)</f>
        <v>3.0000000000000245E-2</v>
      </c>
      <c r="AK28" s="126">
        <f>STDEV(Q52:R52)/SQRT(2)</f>
        <v>0.15500000000000114</v>
      </c>
      <c r="AL28" s="127">
        <f>STDEV(Q61:R61)/SQRT(2)</f>
        <v>0.13499999999999979</v>
      </c>
      <c r="AM28" s="19"/>
      <c r="AN28" s="149">
        <f t="shared" si="34"/>
        <v>3.9257943201910575E-2</v>
      </c>
      <c r="AO28" s="150">
        <f t="shared" si="34"/>
        <v>-0.33334364981219278</v>
      </c>
      <c r="AP28" s="150">
        <f t="shared" si="34"/>
        <v>-0.23747593691888874</v>
      </c>
      <c r="AQ28" s="151">
        <f t="shared" si="34"/>
        <v>-0.3009985734664764</v>
      </c>
      <c r="AR28" s="150">
        <f t="shared" si="34"/>
        <v>-8.8245675961877868E-3</v>
      </c>
      <c r="AS28" s="150">
        <f t="shared" si="34"/>
        <v>3.4119629317607363E-2</v>
      </c>
      <c r="AT28" s="152">
        <f t="shared" si="34"/>
        <v>-5.7318652849741032E-2</v>
      </c>
      <c r="AV28" s="19"/>
      <c r="AW28" s="19"/>
      <c r="AX28" s="19"/>
      <c r="AY28" s="19"/>
      <c r="AZ28" s="19"/>
      <c r="BA28" s="19"/>
      <c r="BB28" s="19"/>
    </row>
    <row r="29" spans="2:58" ht="15.75" thickBot="1" x14ac:dyDescent="0.3">
      <c r="E29">
        <f>E26/C26</f>
        <v>0.54324324324324325</v>
      </c>
    </row>
    <row r="30" spans="2:58" ht="21.75" thickBot="1" x14ac:dyDescent="0.4">
      <c r="C30" s="181" t="s">
        <v>63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3"/>
    </row>
    <row r="31" spans="2:58" ht="22.5" customHeight="1" thickBot="1" x14ac:dyDescent="0.3">
      <c r="B31" s="20"/>
      <c r="C31" s="28" t="s">
        <v>37</v>
      </c>
      <c r="D31" s="30" t="s">
        <v>38</v>
      </c>
      <c r="E31" s="28" t="s">
        <v>76</v>
      </c>
      <c r="F31" s="30" t="s">
        <v>64</v>
      </c>
      <c r="G31" s="28" t="s">
        <v>39</v>
      </c>
      <c r="H31" s="30" t="s">
        <v>40</v>
      </c>
      <c r="I31" s="28" t="s">
        <v>41</v>
      </c>
      <c r="J31" s="30" t="s">
        <v>42</v>
      </c>
      <c r="K31" s="28" t="s">
        <v>43</v>
      </c>
      <c r="L31" s="30" t="s">
        <v>44</v>
      </c>
      <c r="M31" s="28" t="s">
        <v>45</v>
      </c>
      <c r="N31" s="30" t="s">
        <v>46</v>
      </c>
      <c r="O31" s="28" t="s">
        <v>49</v>
      </c>
      <c r="P31" s="30" t="s">
        <v>50</v>
      </c>
      <c r="Q31" s="29" t="s">
        <v>47</v>
      </c>
      <c r="R31" s="30" t="s">
        <v>48</v>
      </c>
    </row>
    <row r="32" spans="2:58" ht="15.75" thickBot="1" x14ac:dyDescent="0.3">
      <c r="B32" s="20"/>
      <c r="C32" s="184" t="s">
        <v>57</v>
      </c>
      <c r="D32" s="185"/>
      <c r="E32" s="184" t="s">
        <v>57</v>
      </c>
      <c r="F32" s="185"/>
      <c r="G32" s="184" t="s">
        <v>57</v>
      </c>
      <c r="H32" s="185"/>
      <c r="I32" s="184" t="s">
        <v>57</v>
      </c>
      <c r="J32" s="185"/>
      <c r="K32" s="184" t="s">
        <v>57</v>
      </c>
      <c r="L32" s="185"/>
      <c r="M32" s="184" t="s">
        <v>57</v>
      </c>
      <c r="N32" s="185"/>
      <c r="O32" s="184" t="s">
        <v>57</v>
      </c>
      <c r="P32" s="185"/>
      <c r="Q32" s="184" t="s">
        <v>57</v>
      </c>
      <c r="R32" s="185"/>
      <c r="W32" s="186" t="s">
        <v>69</v>
      </c>
      <c r="X32" s="187"/>
      <c r="Y32" s="187"/>
      <c r="Z32" s="187"/>
      <c r="AA32" s="187"/>
      <c r="AB32" s="187"/>
      <c r="AC32" s="188"/>
      <c r="AF32" s="186" t="s">
        <v>61</v>
      </c>
      <c r="AG32" s="187"/>
      <c r="AH32" s="187"/>
      <c r="AI32" s="187"/>
      <c r="AJ32" s="187"/>
      <c r="AK32" s="187"/>
      <c r="AL32" s="188"/>
      <c r="AM32" s="50"/>
      <c r="AN32" s="186" t="s">
        <v>116</v>
      </c>
      <c r="AO32" s="187"/>
      <c r="AP32" s="187"/>
      <c r="AQ32" s="187"/>
      <c r="AR32" s="187"/>
      <c r="AS32" s="187"/>
      <c r="AT32" s="188"/>
    </row>
    <row r="33" spans="2:54" ht="15.75" thickBot="1" x14ac:dyDescent="0.3">
      <c r="B33" s="20"/>
      <c r="C33" s="31" t="s">
        <v>58</v>
      </c>
      <c r="D33" s="32" t="s">
        <v>59</v>
      </c>
      <c r="E33" s="31" t="s">
        <v>58</v>
      </c>
      <c r="F33" s="32" t="s">
        <v>59</v>
      </c>
      <c r="G33" s="31" t="s">
        <v>58</v>
      </c>
      <c r="H33" s="32" t="s">
        <v>59</v>
      </c>
      <c r="I33" s="31" t="s">
        <v>58</v>
      </c>
      <c r="J33" s="32" t="s">
        <v>59</v>
      </c>
      <c r="K33" s="31" t="s">
        <v>58</v>
      </c>
      <c r="L33" s="32" t="s">
        <v>59</v>
      </c>
      <c r="M33" s="31" t="s">
        <v>58</v>
      </c>
      <c r="N33" s="32" t="s">
        <v>59</v>
      </c>
      <c r="O33" s="31" t="s">
        <v>58</v>
      </c>
      <c r="P33" s="32" t="s">
        <v>59</v>
      </c>
      <c r="Q33" s="31" t="s">
        <v>58</v>
      </c>
      <c r="R33" s="32" t="s">
        <v>59</v>
      </c>
      <c r="W33" s="54">
        <f>W19</f>
        <v>0</v>
      </c>
      <c r="X33" s="52">
        <f t="shared" ref="X33:AC33" si="35">X19</f>
        <v>6</v>
      </c>
      <c r="Y33" s="54">
        <f t="shared" si="35"/>
        <v>19</v>
      </c>
      <c r="Z33" s="54">
        <f t="shared" si="35"/>
        <v>26</v>
      </c>
      <c r="AA33" s="54">
        <f t="shared" si="35"/>
        <v>34</v>
      </c>
      <c r="AB33" s="54">
        <f t="shared" si="35"/>
        <v>43</v>
      </c>
      <c r="AC33" s="54">
        <f t="shared" si="35"/>
        <v>56</v>
      </c>
      <c r="AD33" s="50"/>
      <c r="AE33" s="50"/>
      <c r="AF33" s="54">
        <v>0</v>
      </c>
      <c r="AG33" s="52">
        <v>6</v>
      </c>
      <c r="AH33" s="54">
        <v>19</v>
      </c>
      <c r="AI33" s="54">
        <v>26</v>
      </c>
      <c r="AJ33" s="54">
        <v>34</v>
      </c>
      <c r="AK33" s="54">
        <v>43</v>
      </c>
      <c r="AL33" s="54">
        <v>56</v>
      </c>
      <c r="AM33" s="142"/>
      <c r="AN33" s="54">
        <v>0</v>
      </c>
      <c r="AO33" s="52">
        <v>6</v>
      </c>
      <c r="AP33" s="54">
        <v>19</v>
      </c>
      <c r="AQ33" s="54">
        <v>26</v>
      </c>
      <c r="AR33" s="54">
        <v>34</v>
      </c>
      <c r="AS33" s="54">
        <v>43</v>
      </c>
      <c r="AT33" s="54">
        <v>56</v>
      </c>
    </row>
    <row r="34" spans="2:54" ht="15.75" thickBot="1" x14ac:dyDescent="0.3">
      <c r="B34" s="22" t="s">
        <v>53</v>
      </c>
      <c r="C34" s="39">
        <v>57.14</v>
      </c>
      <c r="D34" s="40">
        <v>57.53</v>
      </c>
      <c r="E34" s="39">
        <v>37.93</v>
      </c>
      <c r="F34" s="40">
        <v>37.979999999999997</v>
      </c>
      <c r="G34" s="41">
        <v>56.23</v>
      </c>
      <c r="H34" s="40">
        <v>56.32</v>
      </c>
      <c r="I34" s="41">
        <v>56.33</v>
      </c>
      <c r="J34" s="40">
        <v>56.31</v>
      </c>
      <c r="K34" s="41">
        <v>58.64</v>
      </c>
      <c r="L34" s="40">
        <v>58.34</v>
      </c>
      <c r="M34" s="41">
        <v>53.88</v>
      </c>
      <c r="N34" s="40">
        <v>53.91</v>
      </c>
      <c r="O34" s="41">
        <v>37.229999999999997</v>
      </c>
      <c r="P34" s="40">
        <v>37.200000000000003</v>
      </c>
      <c r="Q34" s="42">
        <v>38.880000000000003</v>
      </c>
      <c r="R34" s="43"/>
      <c r="W34" s="139" t="s">
        <v>57</v>
      </c>
      <c r="X34" s="140" t="s">
        <v>57</v>
      </c>
      <c r="Y34" s="141" t="s">
        <v>57</v>
      </c>
      <c r="Z34" s="141" t="s">
        <v>57</v>
      </c>
      <c r="AA34" s="141" t="s">
        <v>57</v>
      </c>
      <c r="AB34" s="141" t="s">
        <v>57</v>
      </c>
      <c r="AC34" s="141" t="s">
        <v>57</v>
      </c>
      <c r="AF34" s="51" t="s">
        <v>57</v>
      </c>
      <c r="AG34" s="52" t="s">
        <v>57</v>
      </c>
      <c r="AH34" s="53" t="s">
        <v>57</v>
      </c>
      <c r="AI34" s="53" t="s">
        <v>57</v>
      </c>
      <c r="AJ34" s="53" t="s">
        <v>57</v>
      </c>
      <c r="AK34" s="141" t="s">
        <v>57</v>
      </c>
      <c r="AL34" s="141" t="s">
        <v>57</v>
      </c>
      <c r="AM34" s="142"/>
      <c r="AN34" s="142"/>
      <c r="AO34" s="15"/>
      <c r="AP34" s="15"/>
      <c r="AQ34" s="24"/>
      <c r="AR34" s="24"/>
      <c r="AS34" s="24"/>
      <c r="AT34" s="24"/>
    </row>
    <row r="35" spans="2:54" x14ac:dyDescent="0.25">
      <c r="B35" s="23" t="s">
        <v>54</v>
      </c>
      <c r="C35" s="44">
        <v>25.9</v>
      </c>
      <c r="D35" s="45">
        <v>25.832999999999998</v>
      </c>
      <c r="E35" s="44">
        <v>14.07</v>
      </c>
      <c r="F35" s="45">
        <v>13.97</v>
      </c>
      <c r="G35" s="46">
        <v>26.36</v>
      </c>
      <c r="H35" s="45">
        <v>26.18</v>
      </c>
      <c r="I35" s="46">
        <v>26.31</v>
      </c>
      <c r="J35" s="45">
        <v>26.23</v>
      </c>
      <c r="K35" s="46">
        <v>26.43</v>
      </c>
      <c r="L35" s="45">
        <v>26.44</v>
      </c>
      <c r="M35" s="46">
        <v>26.44</v>
      </c>
      <c r="N35" s="45">
        <v>26.39</v>
      </c>
      <c r="O35" s="46">
        <v>14.47</v>
      </c>
      <c r="P35" s="45">
        <v>14.45</v>
      </c>
      <c r="Q35" s="47">
        <v>18.239999999999998</v>
      </c>
      <c r="R35" s="48"/>
      <c r="V35" s="136" t="s">
        <v>104</v>
      </c>
      <c r="W35" s="120">
        <f t="shared" ref="W35:AB35" si="36">W6-W21</f>
        <v>30.73</v>
      </c>
      <c r="X35" s="121">
        <f t="shared" si="36"/>
        <v>29.475000000000001</v>
      </c>
      <c r="Y35" s="121">
        <f t="shared" si="36"/>
        <v>29.380000000000006</v>
      </c>
      <c r="Z35" s="121">
        <f t="shared" si="36"/>
        <v>31.468500000000002</v>
      </c>
      <c r="AA35" s="121">
        <f t="shared" si="36"/>
        <v>31.445</v>
      </c>
      <c r="AB35" s="121">
        <f t="shared" si="36"/>
        <v>33.975000000000001</v>
      </c>
      <c r="AC35" s="122">
        <f t="shared" ref="AC35" si="37">AC6-AC21</f>
        <v>32.715000000000003</v>
      </c>
      <c r="AD35" s="2">
        <f>AVERAGE(W35:AC35)</f>
        <v>31.312642857142858</v>
      </c>
      <c r="AE35" s="2">
        <f>STDEV(W35:AC35)</f>
        <v>1.6607264152142804</v>
      </c>
      <c r="AF35" s="120" t="e">
        <f>AF6+AF21</f>
        <v>#DIV/0!</v>
      </c>
      <c r="AG35" s="121">
        <f t="shared" ref="AF35:AI36" si="38">AG6+AG21</f>
        <v>0.49500000000000094</v>
      </c>
      <c r="AH35" s="121">
        <f t="shared" si="38"/>
        <v>0.35000000000000142</v>
      </c>
      <c r="AI35" s="121">
        <f t="shared" si="38"/>
        <v>0.22850000000000037</v>
      </c>
      <c r="AJ35" s="121">
        <f>AJ6+AJ21</f>
        <v>0.55500000000000149</v>
      </c>
      <c r="AK35" s="121">
        <f>AK6+AK21</f>
        <v>0.5</v>
      </c>
      <c r="AL35" s="122">
        <f>AL6+AL21</f>
        <v>0.63500000000000156</v>
      </c>
      <c r="AM35" s="19"/>
      <c r="AN35" s="19"/>
      <c r="AO35" s="15"/>
      <c r="AP35" s="20"/>
      <c r="AQ35" s="15"/>
      <c r="AR35" s="15"/>
      <c r="AS35" s="15"/>
      <c r="AT35" s="15"/>
    </row>
    <row r="36" spans="2:54" ht="15.75" thickBot="1" x14ac:dyDescent="0.3">
      <c r="B36" s="21" t="s">
        <v>55</v>
      </c>
      <c r="C36" s="35">
        <f t="shared" ref="C36:D36" si="39">C34-C35</f>
        <v>31.240000000000002</v>
      </c>
      <c r="D36" s="34">
        <f t="shared" si="39"/>
        <v>31.697000000000003</v>
      </c>
      <c r="E36" s="35">
        <f t="shared" ref="E36:F36" si="40">E34-E35</f>
        <v>23.86</v>
      </c>
      <c r="F36" s="34">
        <f t="shared" si="40"/>
        <v>24.009999999999998</v>
      </c>
      <c r="G36" s="35">
        <f t="shared" ref="G36:R36" si="41">G34-G35</f>
        <v>29.869999999999997</v>
      </c>
      <c r="H36" s="34">
        <f t="shared" si="41"/>
        <v>30.14</v>
      </c>
      <c r="I36" s="34">
        <f t="shared" si="41"/>
        <v>30.02</v>
      </c>
      <c r="J36" s="34">
        <f t="shared" si="41"/>
        <v>30.080000000000002</v>
      </c>
      <c r="K36" s="35">
        <f t="shared" si="41"/>
        <v>32.21</v>
      </c>
      <c r="L36" s="34">
        <f t="shared" si="41"/>
        <v>31.900000000000002</v>
      </c>
      <c r="M36" s="35">
        <f t="shared" si="41"/>
        <v>27.44</v>
      </c>
      <c r="N36" s="34">
        <f t="shared" si="41"/>
        <v>27.519999999999996</v>
      </c>
      <c r="O36" s="35">
        <f t="shared" si="41"/>
        <v>22.759999999999998</v>
      </c>
      <c r="P36" s="34">
        <f t="shared" si="41"/>
        <v>22.750000000000004</v>
      </c>
      <c r="Q36" s="34">
        <f t="shared" si="41"/>
        <v>20.640000000000004</v>
      </c>
      <c r="R36" s="34">
        <f t="shared" si="41"/>
        <v>0</v>
      </c>
      <c r="V36" s="137" t="s">
        <v>77</v>
      </c>
      <c r="W36" s="123">
        <f>W7-W22</f>
        <v>23.204372011843837</v>
      </c>
      <c r="X36" s="19">
        <f t="shared" ref="X36:Z36" si="42">X7-X22</f>
        <v>22.422592693211609</v>
      </c>
      <c r="Y36" s="19">
        <f>Y7-Y22</f>
        <v>22.402052810412822</v>
      </c>
      <c r="Z36" s="19">
        <f t="shared" si="42"/>
        <v>23.934999999999999</v>
      </c>
      <c r="AA36" s="19">
        <f t="shared" ref="AA36:AB36" si="43">AA7-AA22</f>
        <v>27.479999999999997</v>
      </c>
      <c r="AB36" s="19">
        <f t="shared" si="43"/>
        <v>22.090000000000003</v>
      </c>
      <c r="AC36" s="124">
        <f t="shared" ref="AC36" si="44">AC7-AC22</f>
        <v>26.38</v>
      </c>
      <c r="AD36" s="2"/>
      <c r="AE36" s="2"/>
      <c r="AF36" s="123" t="e">
        <f t="shared" si="38"/>
        <v>#DIV/0!</v>
      </c>
      <c r="AG36" s="19">
        <f t="shared" si="38"/>
        <v>0.41018884341315059</v>
      </c>
      <c r="AH36" s="19">
        <f t="shared" si="38"/>
        <v>0.36427237683624991</v>
      </c>
      <c r="AI36" s="19">
        <f t="shared" si="38"/>
        <v>7.4999999999998401E-2</v>
      </c>
      <c r="AJ36" s="19">
        <f t="shared" ref="AJ36:AL36" si="45">AJ7+AJ22</f>
        <v>0.15000000000000302</v>
      </c>
      <c r="AK36" s="19">
        <f t="shared" si="45"/>
        <v>11.469999999999995</v>
      </c>
      <c r="AL36" s="124">
        <f t="shared" si="45"/>
        <v>0.20000000000000018</v>
      </c>
      <c r="AM36" s="19"/>
      <c r="AN36" s="19"/>
      <c r="AO36" s="15"/>
      <c r="AP36" s="15"/>
      <c r="AQ36" s="15"/>
      <c r="AR36" s="15"/>
      <c r="AS36" s="15"/>
      <c r="AT36" s="15"/>
    </row>
    <row r="37" spans="2:54" x14ac:dyDescent="0.25">
      <c r="E37" s="56">
        <f>E34/C34</f>
        <v>0.66380819040952044</v>
      </c>
      <c r="F37" s="56">
        <f>F34/D34</f>
        <v>0.6601772988006257</v>
      </c>
      <c r="V37" s="137" t="s">
        <v>105</v>
      </c>
      <c r="W37" s="123">
        <f t="shared" ref="W37:Z37" si="46">W8-W23</f>
        <v>31.42</v>
      </c>
      <c r="X37" s="19">
        <f t="shared" si="46"/>
        <v>27.965</v>
      </c>
      <c r="Y37" s="19">
        <f t="shared" si="46"/>
        <v>28.899999999999995</v>
      </c>
      <c r="Z37" s="19">
        <f t="shared" si="46"/>
        <v>30.004999999999999</v>
      </c>
      <c r="AA37" s="19">
        <f t="shared" ref="AA37:AB37" si="47">AA8-AA23</f>
        <v>29.724999999999994</v>
      </c>
      <c r="AB37" s="19">
        <f t="shared" si="47"/>
        <v>29.53</v>
      </c>
      <c r="AC37" s="124">
        <f t="shared" ref="AC37" si="48">AC8-AC23</f>
        <v>30.099999999999994</v>
      </c>
      <c r="AD37" s="2"/>
      <c r="AE37" s="2"/>
      <c r="AF37" s="123" t="e">
        <f t="shared" ref="AF37:AI37" si="49">AF8+AF23</f>
        <v>#DIV/0!</v>
      </c>
      <c r="AG37" s="19">
        <f t="shared" si="49"/>
        <v>0.63000000000000245</v>
      </c>
      <c r="AH37" s="19">
        <f t="shared" si="49"/>
        <v>0.19999999999999929</v>
      </c>
      <c r="AI37" s="19">
        <f t="shared" si="49"/>
        <v>0.13500000000000156</v>
      </c>
      <c r="AJ37" s="19">
        <f t="shared" ref="AJ37:AL37" si="50">AJ8+AJ23</f>
        <v>6.4999999999999503E-2</v>
      </c>
      <c r="AK37" s="19">
        <f t="shared" si="50"/>
        <v>0.43999999999999773</v>
      </c>
      <c r="AL37" s="124">
        <f t="shared" si="50"/>
        <v>0.45999999999999908</v>
      </c>
      <c r="AM37" s="19"/>
      <c r="AN37" s="144">
        <v>0</v>
      </c>
      <c r="AO37" s="145">
        <f>((X$35-X37)/X$35)</f>
        <v>5.122985581000853E-2</v>
      </c>
      <c r="AP37" s="145">
        <f t="shared" ref="AP37:AT37" si="51">((Y$35-Y37)/Y$35)</f>
        <v>1.6337644656229101E-2</v>
      </c>
      <c r="AQ37" s="145">
        <f t="shared" si="51"/>
        <v>4.6506824284602163E-2</v>
      </c>
      <c r="AR37" s="145">
        <f t="shared" si="51"/>
        <v>5.4698680235331719E-2</v>
      </c>
      <c r="AS37" s="145">
        <f t="shared" si="51"/>
        <v>0.13083149374540104</v>
      </c>
      <c r="AT37" s="146">
        <f t="shared" si="51"/>
        <v>7.9932752559988038E-2</v>
      </c>
      <c r="AV37" s="19"/>
      <c r="AW37" s="19"/>
      <c r="AX37" s="19"/>
      <c r="AY37" s="19"/>
      <c r="AZ37" s="19"/>
      <c r="BA37" s="19"/>
      <c r="BB37" s="19"/>
    </row>
    <row r="38" spans="2:54" x14ac:dyDescent="0.25">
      <c r="E38" s="56">
        <f t="shared" ref="E38:F38" si="52">E35/C35</f>
        <v>0.54324324324324325</v>
      </c>
      <c r="F38" s="56">
        <f t="shared" si="52"/>
        <v>0.54078117136995318</v>
      </c>
      <c r="V38" s="137" t="s">
        <v>106</v>
      </c>
      <c r="W38" s="123">
        <f t="shared" ref="W38:AB42" si="53">W9-W24</f>
        <v>31.47</v>
      </c>
      <c r="X38" s="19">
        <f t="shared" si="53"/>
        <v>27.770000000000003</v>
      </c>
      <c r="Y38" s="19">
        <f t="shared" si="53"/>
        <v>28.45</v>
      </c>
      <c r="Z38" s="19">
        <f t="shared" si="53"/>
        <v>30.05</v>
      </c>
      <c r="AA38" s="19">
        <f t="shared" si="53"/>
        <v>28.594999999999999</v>
      </c>
      <c r="AB38" s="19">
        <f t="shared" si="53"/>
        <v>29.845000000000002</v>
      </c>
      <c r="AC38" s="124">
        <f t="shared" ref="AC38" si="54">AC9-AC24</f>
        <v>29.935000000000002</v>
      </c>
      <c r="AD38" s="2"/>
      <c r="AE38" s="2"/>
      <c r="AF38" s="123" t="e">
        <f t="shared" ref="AF38:AI42" si="55">AF9+AF24</f>
        <v>#DIV/0!</v>
      </c>
      <c r="AG38" s="19">
        <f t="shared" si="55"/>
        <v>0.24500000000000099</v>
      </c>
      <c r="AH38" s="19">
        <f t="shared" si="55"/>
        <v>0.23999999999999844</v>
      </c>
      <c r="AI38" s="19">
        <f t="shared" si="55"/>
        <v>4.9999999999997158E-2</v>
      </c>
      <c r="AJ38" s="19">
        <f t="shared" ref="AJ38:AL38" si="56">AJ9+AJ24</f>
        <v>0.34500000000000064</v>
      </c>
      <c r="AK38" s="19">
        <f t="shared" si="56"/>
        <v>0.39000000000000057</v>
      </c>
      <c r="AL38" s="124">
        <f t="shared" si="56"/>
        <v>4.4999999999999929E-2</v>
      </c>
      <c r="AM38" s="19"/>
      <c r="AN38" s="147">
        <v>0</v>
      </c>
      <c r="AO38" s="135">
        <f>((X$35-X38)/X$35)</f>
        <v>5.7845631891433359E-2</v>
      </c>
      <c r="AP38" s="135">
        <f t="shared" ref="AP38:AP39" si="57">((Y$35-Y38)/Y$35)</f>
        <v>3.1654186521443382E-2</v>
      </c>
      <c r="AQ38" s="135">
        <f t="shared" ref="AQ38:AQ40" si="58">((Z$35-Z38)/Z$35)</f>
        <v>4.5076822854600684E-2</v>
      </c>
      <c r="AR38" s="135">
        <f t="shared" ref="AR38:AR40" si="59">((AA$35-AA38)/AA$35)</f>
        <v>9.0634441087613343E-2</v>
      </c>
      <c r="AS38" s="135">
        <f t="shared" ref="AS38:AT40" si="60">((AB$35-AB38)/AB$35)</f>
        <v>0.12155997056659305</v>
      </c>
      <c r="AT38" s="148">
        <f t="shared" si="60"/>
        <v>8.4976310560904808E-2</v>
      </c>
      <c r="AV38" s="19"/>
      <c r="AW38" s="19"/>
      <c r="AX38" s="19"/>
      <c r="AY38" s="19"/>
      <c r="AZ38" s="19"/>
      <c r="BA38" s="19"/>
      <c r="BB38" s="19"/>
    </row>
    <row r="39" spans="2:54" ht="15.75" thickBot="1" x14ac:dyDescent="0.3">
      <c r="E39" s="56">
        <f t="shared" ref="E39:F39" si="61">E36/C36</f>
        <v>0.76376440460947492</v>
      </c>
      <c r="F39" s="56">
        <f t="shared" si="61"/>
        <v>0.75748493548285312</v>
      </c>
      <c r="V39" s="137" t="s">
        <v>107</v>
      </c>
      <c r="W39" s="123">
        <f t="shared" si="53"/>
        <v>18.686499999999995</v>
      </c>
      <c r="X39" s="19">
        <f t="shared" si="53"/>
        <v>21.875000000000007</v>
      </c>
      <c r="Y39" s="19">
        <f t="shared" si="53"/>
        <v>24.985000000000007</v>
      </c>
      <c r="Z39" s="19">
        <f t="shared" si="53"/>
        <v>32.055</v>
      </c>
      <c r="AA39" s="19">
        <f t="shared" si="53"/>
        <v>26.619999999999997</v>
      </c>
      <c r="AB39" s="19">
        <f t="shared" si="53"/>
        <v>28.795000000000002</v>
      </c>
      <c r="AC39" s="124">
        <f t="shared" ref="AC39" si="62">AC10-AC25</f>
        <v>29.43</v>
      </c>
      <c r="AD39" s="2"/>
      <c r="AE39" s="2"/>
      <c r="AF39" s="123">
        <f t="shared" si="55"/>
        <v>1.3264999999999958</v>
      </c>
      <c r="AG39" s="19">
        <f t="shared" si="55"/>
        <v>0.44499999999999851</v>
      </c>
      <c r="AH39" s="19">
        <f t="shared" si="55"/>
        <v>3.5000000000001918E-2</v>
      </c>
      <c r="AI39" s="19">
        <f t="shared" si="55"/>
        <v>0.15499999999999933</v>
      </c>
      <c r="AJ39" s="19">
        <f t="shared" ref="AJ39:AL39" si="63">AJ10+AJ25</f>
        <v>9.5933199754164828</v>
      </c>
      <c r="AK39" s="19">
        <f t="shared" si="63"/>
        <v>0.33999999999999986</v>
      </c>
      <c r="AL39" s="124">
        <f t="shared" si="63"/>
        <v>8.0000000000000071E-2</v>
      </c>
      <c r="AM39" s="19"/>
      <c r="AN39" s="147">
        <f>((W$35-W39)/W$35)</f>
        <v>0.39191343963553549</v>
      </c>
      <c r="AO39" s="135">
        <f>((X$35-X39)/X$35)</f>
        <v>0.25784563189143322</v>
      </c>
      <c r="AP39" s="135">
        <f t="shared" si="57"/>
        <v>0.14959155888359424</v>
      </c>
      <c r="AQ39" s="143">
        <v>0</v>
      </c>
      <c r="AR39" s="135">
        <f t="shared" si="59"/>
        <v>0.15344251868341557</v>
      </c>
      <c r="AS39" s="135">
        <f t="shared" si="60"/>
        <v>0.15246504782928622</v>
      </c>
      <c r="AT39" s="148">
        <f t="shared" si="60"/>
        <v>0.10041265474552967</v>
      </c>
      <c r="AV39" s="19"/>
      <c r="AW39" s="19"/>
      <c r="AX39" s="19"/>
      <c r="AY39" s="19"/>
      <c r="AZ39" s="19"/>
      <c r="BA39" s="19"/>
      <c r="BB39" s="19"/>
    </row>
    <row r="40" spans="2:54" ht="21.75" thickBot="1" x14ac:dyDescent="0.4">
      <c r="C40" s="181" t="s">
        <v>78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3"/>
      <c r="V40" s="137" t="s">
        <v>108</v>
      </c>
      <c r="W40" s="123">
        <f t="shared" si="53"/>
        <v>18.003</v>
      </c>
      <c r="X40" s="19">
        <f t="shared" si="53"/>
        <v>21.919999999999998</v>
      </c>
      <c r="Y40" s="19">
        <f t="shared" si="53"/>
        <v>24.450000000000003</v>
      </c>
      <c r="Z40" s="19">
        <f t="shared" si="53"/>
        <v>27.479999999999997</v>
      </c>
      <c r="AA40" s="19">
        <f t="shared" si="53"/>
        <v>26.544999999999998</v>
      </c>
      <c r="AB40" s="19">
        <f t="shared" si="53"/>
        <v>27.344999999999999</v>
      </c>
      <c r="AC40" s="124">
        <f t="shared" ref="AC40" si="64">AC11-AC26</f>
        <v>28.455000000000005</v>
      </c>
      <c r="AD40" s="2"/>
      <c r="AE40" s="2"/>
      <c r="AF40" s="123">
        <f t="shared" si="55"/>
        <v>1.3689999999999998</v>
      </c>
      <c r="AG40" s="19">
        <f t="shared" si="55"/>
        <v>0.28999999999999915</v>
      </c>
      <c r="AH40" s="19">
        <f t="shared" si="55"/>
        <v>0.33000000000000007</v>
      </c>
      <c r="AI40" s="19">
        <f t="shared" si="55"/>
        <v>3.9999999999997371E-2</v>
      </c>
      <c r="AJ40" s="19">
        <f t="shared" ref="AJ40:AL40" si="65">AJ11+AJ26</f>
        <v>0.24500000000000099</v>
      </c>
      <c r="AK40" s="19">
        <f t="shared" si="65"/>
        <v>0.66000000000000014</v>
      </c>
      <c r="AL40" s="124">
        <f t="shared" si="65"/>
        <v>0.21499999999999986</v>
      </c>
      <c r="AM40" s="19"/>
      <c r="AN40" s="147">
        <f>((W$35-W40)/W$35)</f>
        <v>0.41415554832411328</v>
      </c>
      <c r="AO40" s="135">
        <f>((X$35-X40)/X$35)</f>
        <v>0.25631891433418164</v>
      </c>
      <c r="AP40" s="135">
        <f>((Y$35-Y40)/Y$35)</f>
        <v>0.16780122532334929</v>
      </c>
      <c r="AQ40" s="135">
        <f t="shared" si="58"/>
        <v>0.12674579341246026</v>
      </c>
      <c r="AR40" s="135">
        <f t="shared" si="59"/>
        <v>0.15582763555414222</v>
      </c>
      <c r="AS40" s="135">
        <f t="shared" si="60"/>
        <v>0.19514348785871971</v>
      </c>
      <c r="AT40" s="148">
        <f t="shared" si="60"/>
        <v>0.13021549747822092</v>
      </c>
      <c r="AV40" s="19"/>
      <c r="AW40" s="19"/>
      <c r="AX40" s="19"/>
      <c r="AY40" s="19"/>
      <c r="AZ40" s="19"/>
      <c r="BA40" s="19"/>
      <c r="BB40" s="19"/>
    </row>
    <row r="41" spans="2:54" ht="30.75" thickBot="1" x14ac:dyDescent="0.3">
      <c r="B41" s="20"/>
      <c r="C41" s="28" t="s">
        <v>37</v>
      </c>
      <c r="D41" s="30" t="s">
        <v>38</v>
      </c>
      <c r="E41" s="28" t="s">
        <v>76</v>
      </c>
      <c r="F41" s="30" t="s">
        <v>64</v>
      </c>
      <c r="G41" s="28" t="s">
        <v>39</v>
      </c>
      <c r="H41" s="30" t="s">
        <v>40</v>
      </c>
      <c r="I41" s="28" t="s">
        <v>41</v>
      </c>
      <c r="J41" s="30" t="s">
        <v>42</v>
      </c>
      <c r="K41" s="28" t="s">
        <v>43</v>
      </c>
      <c r="L41" s="30" t="s">
        <v>44</v>
      </c>
      <c r="M41" s="28" t="s">
        <v>45</v>
      </c>
      <c r="N41" s="30" t="s">
        <v>46</v>
      </c>
      <c r="O41" s="28" t="s">
        <v>49</v>
      </c>
      <c r="P41" s="30" t="s">
        <v>50</v>
      </c>
      <c r="Q41" s="29" t="s">
        <v>47</v>
      </c>
      <c r="R41" s="30" t="s">
        <v>48</v>
      </c>
      <c r="V41" s="137" t="s">
        <v>109</v>
      </c>
      <c r="W41" s="123">
        <f t="shared" si="53"/>
        <v>21.724999999999994</v>
      </c>
      <c r="X41" s="19">
        <f t="shared" si="53"/>
        <v>20.92</v>
      </c>
      <c r="Y41" s="19">
        <f t="shared" si="53"/>
        <v>23.279999999999998</v>
      </c>
      <c r="Z41" s="19">
        <f t="shared" si="53"/>
        <v>22.755000000000003</v>
      </c>
      <c r="AA41" s="19">
        <f t="shared" si="53"/>
        <v>25.589999999999996</v>
      </c>
      <c r="AB41" s="19">
        <f t="shared" si="53"/>
        <v>21.425000000000004</v>
      </c>
      <c r="AC41" s="124">
        <f t="shared" ref="AC41" si="66">AC12-AC27</f>
        <v>23.49</v>
      </c>
      <c r="AD41" s="2"/>
      <c r="AE41" s="2"/>
      <c r="AF41" s="123">
        <f t="shared" si="55"/>
        <v>0.74500000000000188</v>
      </c>
      <c r="AG41" s="19">
        <f t="shared" si="55"/>
        <v>0.72000000000000053</v>
      </c>
      <c r="AH41" s="19">
        <f t="shared" si="55"/>
        <v>0.81999999999999751</v>
      </c>
      <c r="AI41" s="19">
        <f t="shared" si="55"/>
        <v>2.4999999999997687E-2</v>
      </c>
      <c r="AJ41" s="19">
        <f t="shared" ref="AJ41:AL41" si="67">AJ12+AJ27</f>
        <v>3.0000000000000245E-2</v>
      </c>
      <c r="AK41" s="19">
        <f t="shared" si="67"/>
        <v>0.48500000000000298</v>
      </c>
      <c r="AL41" s="124">
        <f t="shared" si="67"/>
        <v>8.9999999999999858E-2</v>
      </c>
      <c r="AM41" s="19"/>
      <c r="AN41" s="147">
        <f>((W$36-W41)/W$36)</f>
        <v>6.3754020625455876E-2</v>
      </c>
      <c r="AO41" s="135">
        <f>((X$36-X41)/X$36)</f>
        <v>6.7012442038717215E-2</v>
      </c>
      <c r="AP41" s="143">
        <v>0</v>
      </c>
      <c r="AQ41" s="135">
        <f t="shared" ref="AQ41:AT42" si="68">((Z$36-Z41)/Z$36)</f>
        <v>4.9300188009191399E-2</v>
      </c>
      <c r="AR41" s="135">
        <f t="shared" si="68"/>
        <v>6.8777292576419236E-2</v>
      </c>
      <c r="AS41" s="135">
        <f t="shared" si="68"/>
        <v>3.0104119511090949E-2</v>
      </c>
      <c r="AT41" s="148">
        <f t="shared" si="68"/>
        <v>0.10955269143290373</v>
      </c>
      <c r="AV41" s="19"/>
      <c r="AW41" s="19"/>
      <c r="AX41" s="19"/>
      <c r="AY41" s="19"/>
      <c r="AZ41" s="19"/>
      <c r="BA41" s="19"/>
      <c r="BB41" s="19"/>
    </row>
    <row r="42" spans="2:54" ht="15.75" thickBot="1" x14ac:dyDescent="0.3">
      <c r="B42" s="20"/>
      <c r="C42" s="184" t="s">
        <v>57</v>
      </c>
      <c r="D42" s="185"/>
      <c r="E42" s="184" t="s">
        <v>57</v>
      </c>
      <c r="F42" s="185"/>
      <c r="G42" s="184" t="s">
        <v>57</v>
      </c>
      <c r="H42" s="185"/>
      <c r="I42" s="184" t="s">
        <v>57</v>
      </c>
      <c r="J42" s="185"/>
      <c r="K42" s="184" t="s">
        <v>57</v>
      </c>
      <c r="L42" s="185"/>
      <c r="M42" s="184" t="s">
        <v>57</v>
      </c>
      <c r="N42" s="185"/>
      <c r="O42" s="184" t="s">
        <v>57</v>
      </c>
      <c r="P42" s="185"/>
      <c r="Q42" s="184" t="s">
        <v>57</v>
      </c>
      <c r="R42" s="185"/>
      <c r="V42" s="138" t="s">
        <v>110</v>
      </c>
      <c r="W42" s="125">
        <f t="shared" si="53"/>
        <v>13.680000000000003</v>
      </c>
      <c r="X42" s="126">
        <f t="shared" si="53"/>
        <v>15.990000000000002</v>
      </c>
      <c r="Y42" s="126">
        <f t="shared" si="53"/>
        <v>18.085000000000001</v>
      </c>
      <c r="Z42" s="126">
        <f t="shared" si="53"/>
        <v>20.640000000000004</v>
      </c>
      <c r="AA42" s="126">
        <f>AA13-AA28</f>
        <v>19.384999999999998</v>
      </c>
      <c r="AB42" s="126">
        <f>AB13-AB28</f>
        <v>16.64</v>
      </c>
      <c r="AC42" s="127">
        <f>AC13-AC28</f>
        <v>22.644999999999996</v>
      </c>
      <c r="AD42" s="2"/>
      <c r="AE42" s="2"/>
      <c r="AF42" s="125">
        <f t="shared" si="55"/>
        <v>0.57000000000000017</v>
      </c>
      <c r="AG42" s="126">
        <f t="shared" si="55"/>
        <v>0.11000000000000121</v>
      </c>
      <c r="AH42" s="126">
        <f t="shared" si="55"/>
        <v>0.11500000000000021</v>
      </c>
      <c r="AI42" s="126" t="e">
        <f t="shared" si="55"/>
        <v>#DIV/0!</v>
      </c>
      <c r="AJ42" s="126">
        <f t="shared" ref="AJ42:AL42" si="69">AJ13+AJ28</f>
        <v>8.4999999999999964E-2</v>
      </c>
      <c r="AK42" s="126">
        <f t="shared" si="69"/>
        <v>0.31000000000000227</v>
      </c>
      <c r="AL42" s="127">
        <f t="shared" si="69"/>
        <v>0.49499999999999922</v>
      </c>
      <c r="AM42" s="19"/>
      <c r="AN42" s="149">
        <f>((W$36-W42)/W$36)</f>
        <v>0.41045592645137996</v>
      </c>
      <c r="AO42" s="150">
        <f t="shared" ref="AO42" si="70">((X$36-X42)/X$36)</f>
        <v>0.28687996884316863</v>
      </c>
      <c r="AP42" s="150">
        <f t="shared" ref="AP42" si="71">((Y$36-Y42)/Y$36)</f>
        <v>0.19270791150024377</v>
      </c>
      <c r="AQ42" s="151">
        <f t="shared" si="68"/>
        <v>0.13766450804261521</v>
      </c>
      <c r="AR42" s="150">
        <f t="shared" si="68"/>
        <v>0.29457787481804948</v>
      </c>
      <c r="AS42" s="150">
        <f t="shared" si="68"/>
        <v>0.24671797193300146</v>
      </c>
      <c r="AT42" s="152">
        <f t="shared" si="68"/>
        <v>0.14158453373768018</v>
      </c>
      <c r="AV42" s="19"/>
      <c r="AW42" s="19"/>
      <c r="AX42" s="19"/>
      <c r="AY42" s="19"/>
      <c r="AZ42" s="19"/>
      <c r="BA42" s="19"/>
      <c r="BB42" s="19"/>
    </row>
    <row r="43" spans="2:54" ht="15.75" thickBot="1" x14ac:dyDescent="0.3">
      <c r="B43" s="20"/>
      <c r="C43" s="31" t="s">
        <v>58</v>
      </c>
      <c r="D43" s="32" t="s">
        <v>59</v>
      </c>
      <c r="E43" s="31" t="s">
        <v>58</v>
      </c>
      <c r="F43" s="32" t="s">
        <v>59</v>
      </c>
      <c r="G43" s="31" t="s">
        <v>58</v>
      </c>
      <c r="H43" s="32" t="s">
        <v>59</v>
      </c>
      <c r="I43" s="31" t="s">
        <v>58</v>
      </c>
      <c r="J43" s="32" t="s">
        <v>59</v>
      </c>
      <c r="K43" s="31" t="s">
        <v>58</v>
      </c>
      <c r="L43" s="32" t="s">
        <v>59</v>
      </c>
      <c r="M43" s="31" t="s">
        <v>58</v>
      </c>
      <c r="N43" s="32" t="s">
        <v>59</v>
      </c>
      <c r="O43" s="31" t="s">
        <v>58</v>
      </c>
      <c r="P43" s="32" t="s">
        <v>59</v>
      </c>
      <c r="Q43" s="31" t="s">
        <v>58</v>
      </c>
      <c r="R43" s="32" t="s">
        <v>59</v>
      </c>
    </row>
    <row r="44" spans="2:54" x14ac:dyDescent="0.25">
      <c r="B44" s="22" t="s">
        <v>53</v>
      </c>
      <c r="C44" s="39">
        <v>58.74</v>
      </c>
      <c r="D44" s="40">
        <v>57.79</v>
      </c>
      <c r="E44" s="39">
        <v>41.74</v>
      </c>
      <c r="F44" s="40">
        <v>41.55</v>
      </c>
      <c r="G44" s="41">
        <v>56.36</v>
      </c>
      <c r="H44" s="40">
        <v>56.37</v>
      </c>
      <c r="I44" s="41">
        <v>55.54</v>
      </c>
      <c r="J44" s="40">
        <v>54.87</v>
      </c>
      <c r="K44" s="41">
        <v>54.05</v>
      </c>
      <c r="L44" s="40">
        <v>53.3</v>
      </c>
      <c r="M44" s="41">
        <v>53.06</v>
      </c>
      <c r="N44" s="40">
        <v>53.38</v>
      </c>
      <c r="O44" s="41">
        <v>40.69</v>
      </c>
      <c r="P44" s="40">
        <v>40.69</v>
      </c>
      <c r="Q44" s="42">
        <v>33.619999999999997</v>
      </c>
      <c r="R44" s="43">
        <v>33.729999999999997</v>
      </c>
      <c r="V44" t="s">
        <v>104</v>
      </c>
      <c r="W44" s="176">
        <f>W35</f>
        <v>30.73</v>
      </c>
      <c r="X44" s="176">
        <f t="shared" ref="X44:AC44" si="72">X35</f>
        <v>29.475000000000001</v>
      </c>
      <c r="Y44" s="176">
        <f t="shared" si="72"/>
        <v>29.380000000000006</v>
      </c>
      <c r="Z44" s="176">
        <f t="shared" si="72"/>
        <v>31.468500000000002</v>
      </c>
      <c r="AA44" s="176">
        <f t="shared" si="72"/>
        <v>31.445</v>
      </c>
      <c r="AB44" s="176">
        <f t="shared" si="72"/>
        <v>33.975000000000001</v>
      </c>
      <c r="AC44" s="176">
        <f t="shared" si="72"/>
        <v>32.715000000000003</v>
      </c>
    </row>
    <row r="45" spans="2:54" x14ac:dyDescent="0.25">
      <c r="B45" s="23" t="s">
        <v>54</v>
      </c>
      <c r="C45" s="44">
        <v>26.9</v>
      </c>
      <c r="D45" s="45">
        <v>26.74</v>
      </c>
      <c r="E45" s="44">
        <v>14.11</v>
      </c>
      <c r="F45" s="45">
        <v>14.22</v>
      </c>
      <c r="G45" s="46">
        <v>26.7</v>
      </c>
      <c r="H45" s="45">
        <v>26.58</v>
      </c>
      <c r="I45" s="46">
        <v>26.6</v>
      </c>
      <c r="J45" s="45">
        <v>26.62</v>
      </c>
      <c r="K45" s="46">
        <v>27.17</v>
      </c>
      <c r="L45" s="45">
        <v>26.94</v>
      </c>
      <c r="M45" s="46">
        <v>26.76</v>
      </c>
      <c r="N45" s="45">
        <v>26.59</v>
      </c>
      <c r="O45" s="46">
        <v>15.07</v>
      </c>
      <c r="P45" s="45">
        <v>15.13</v>
      </c>
      <c r="Q45" s="47">
        <v>14.32</v>
      </c>
      <c r="R45" s="48">
        <v>14.26</v>
      </c>
      <c r="V45" s="15" t="s">
        <v>112</v>
      </c>
      <c r="W45" s="177">
        <f>AVERAGE(W37:W38)</f>
        <v>31.445</v>
      </c>
      <c r="X45" s="177">
        <f t="shared" ref="X45:AC45" si="73">AVERAGE(X37:X38)</f>
        <v>27.8675</v>
      </c>
      <c r="Y45" s="177">
        <f t="shared" si="73"/>
        <v>28.674999999999997</v>
      </c>
      <c r="Z45" s="177">
        <f t="shared" si="73"/>
        <v>30.0275</v>
      </c>
      <c r="AA45" s="177">
        <f t="shared" si="73"/>
        <v>29.159999999999997</v>
      </c>
      <c r="AB45" s="177">
        <f t="shared" si="73"/>
        <v>29.6875</v>
      </c>
      <c r="AC45" s="177">
        <f t="shared" si="73"/>
        <v>30.017499999999998</v>
      </c>
      <c r="AM45" t="s">
        <v>112</v>
      </c>
      <c r="AN45" s="173">
        <f>AVERAGE(AN37:AN38)</f>
        <v>0</v>
      </c>
      <c r="AO45" s="173">
        <f t="shared" ref="AO45:AT45" si="74">AVERAGE(AO37:AO38)</f>
        <v>5.4537743850720945E-2</v>
      </c>
      <c r="AP45" s="173">
        <f t="shared" si="74"/>
        <v>2.3995915588836243E-2</v>
      </c>
      <c r="AQ45" s="173">
        <f t="shared" si="74"/>
        <v>4.5791823569601424E-2</v>
      </c>
      <c r="AR45" s="173">
        <f t="shared" si="74"/>
        <v>7.2666560661472535E-2</v>
      </c>
      <c r="AS45" s="173">
        <f t="shared" si="74"/>
        <v>0.12619573215599705</v>
      </c>
      <c r="AT45" s="173">
        <f t="shared" si="74"/>
        <v>8.2454531560446423E-2</v>
      </c>
      <c r="AV45" s="173">
        <f>AN45*100</f>
        <v>0</v>
      </c>
      <c r="AW45" s="173">
        <f t="shared" ref="AW45:AZ45" si="75">AO45*100</f>
        <v>5.4537743850720943</v>
      </c>
      <c r="AX45" s="173">
        <f t="shared" si="75"/>
        <v>2.3995915588836243</v>
      </c>
      <c r="AY45" s="173">
        <f t="shared" si="75"/>
        <v>4.5791823569601426</v>
      </c>
      <c r="AZ45" s="173">
        <f t="shared" si="75"/>
        <v>7.2666560661472532</v>
      </c>
      <c r="BA45" s="173">
        <f>AS45*100</f>
        <v>12.619573215599706</v>
      </c>
      <c r="BB45" s="173">
        <f t="shared" ref="BB45" si="76">AT45*100</f>
        <v>8.2454531560446416</v>
      </c>
    </row>
    <row r="46" spans="2:54" ht="15.75" thickBot="1" x14ac:dyDescent="0.3">
      <c r="B46" s="21" t="s">
        <v>55</v>
      </c>
      <c r="C46" s="34">
        <f t="shared" ref="C46:R46" si="77">C44-C45</f>
        <v>31.840000000000003</v>
      </c>
      <c r="D46" s="34">
        <f t="shared" si="77"/>
        <v>31.05</v>
      </c>
      <c r="E46" s="35">
        <f t="shared" si="77"/>
        <v>27.630000000000003</v>
      </c>
      <c r="F46" s="34">
        <f t="shared" si="77"/>
        <v>27.33</v>
      </c>
      <c r="G46" s="35">
        <f t="shared" si="77"/>
        <v>29.66</v>
      </c>
      <c r="H46" s="34">
        <f t="shared" si="77"/>
        <v>29.79</v>
      </c>
      <c r="I46" s="34">
        <f t="shared" si="77"/>
        <v>28.939999999999998</v>
      </c>
      <c r="J46" s="34">
        <f t="shared" si="77"/>
        <v>28.249999999999996</v>
      </c>
      <c r="K46" s="34">
        <f t="shared" si="77"/>
        <v>26.879999999999995</v>
      </c>
      <c r="L46" s="34">
        <f t="shared" si="77"/>
        <v>26.359999999999996</v>
      </c>
      <c r="M46" s="35">
        <f t="shared" si="77"/>
        <v>26.3</v>
      </c>
      <c r="N46" s="34">
        <f t="shared" si="77"/>
        <v>26.790000000000003</v>
      </c>
      <c r="O46" s="35">
        <f t="shared" si="77"/>
        <v>25.619999999999997</v>
      </c>
      <c r="P46" s="34">
        <f t="shared" si="77"/>
        <v>25.559999999999995</v>
      </c>
      <c r="Q46" s="34">
        <f>Q44-Q45</f>
        <v>19.299999999999997</v>
      </c>
      <c r="R46" s="34">
        <f t="shared" si="77"/>
        <v>19.47</v>
      </c>
      <c r="U46" s="15"/>
      <c r="V46" s="15" t="s">
        <v>113</v>
      </c>
      <c r="W46" s="177">
        <f>AVERAGE(W39:W40)</f>
        <v>18.344749999999998</v>
      </c>
      <c r="X46" s="177">
        <f t="shared" ref="X46:Y46" si="78">AVERAGE(X39:X40)</f>
        <v>21.897500000000001</v>
      </c>
      <c r="Y46" s="177">
        <f t="shared" si="78"/>
        <v>24.717500000000005</v>
      </c>
      <c r="Z46" s="177">
        <f>AVERAGE(Z40)</f>
        <v>27.479999999999997</v>
      </c>
      <c r="AA46" s="177">
        <f t="shared" ref="AA46:AC46" si="79">AVERAGE(AA39:AA40)</f>
        <v>26.582499999999996</v>
      </c>
      <c r="AB46" s="177">
        <f t="shared" si="79"/>
        <v>28.07</v>
      </c>
      <c r="AC46" s="177">
        <f t="shared" si="79"/>
        <v>28.942500000000003</v>
      </c>
      <c r="AD46" s="15"/>
      <c r="AE46" s="15"/>
      <c r="AF46" s="15"/>
      <c r="AG46" s="15"/>
      <c r="AH46" s="15"/>
      <c r="AI46" s="15"/>
      <c r="AJ46" s="15"/>
      <c r="AK46" s="15"/>
      <c r="AL46" s="15"/>
      <c r="AM46" s="15" t="s">
        <v>113</v>
      </c>
      <c r="AN46" s="174">
        <f>AVERAGE(AN39:AN40)</f>
        <v>0.40303449397982438</v>
      </c>
      <c r="AO46" s="174">
        <f t="shared" ref="AO46:AT46" si="80">AVERAGE(AO39:AO40)</f>
        <v>0.2570822731128074</v>
      </c>
      <c r="AP46" s="174">
        <f t="shared" si="80"/>
        <v>0.15869639210347175</v>
      </c>
      <c r="AQ46" s="174">
        <f>AVERAGE(AQ40)</f>
        <v>0.12674579341246026</v>
      </c>
      <c r="AR46" s="174">
        <f t="shared" si="80"/>
        <v>0.15463507711877889</v>
      </c>
      <c r="AS46" s="174">
        <f t="shared" si="80"/>
        <v>0.17380426784400296</v>
      </c>
      <c r="AT46" s="174">
        <f t="shared" si="80"/>
        <v>0.1153140761118753</v>
      </c>
      <c r="AV46" s="173">
        <f>AN46*100</f>
        <v>40.30344939798244</v>
      </c>
      <c r="AW46" s="173">
        <f t="shared" ref="AW46:AW47" si="81">AO46*100</f>
        <v>25.708227311280741</v>
      </c>
      <c r="AX46" s="173">
        <f t="shared" ref="AX46:AX47" si="82">AP46*100</f>
        <v>15.869639210347176</v>
      </c>
      <c r="AY46" s="173">
        <f t="shared" ref="AY46:AY47" si="83">AQ46*100</f>
        <v>12.674579341246025</v>
      </c>
      <c r="AZ46" s="173">
        <f t="shared" ref="AZ46:AZ47" si="84">AR46*100</f>
        <v>15.463507711877888</v>
      </c>
      <c r="BA46" s="173">
        <f>AS46*100</f>
        <v>17.380426784400296</v>
      </c>
      <c r="BB46" s="173">
        <f t="shared" ref="BB46:BB47" si="85">AT46*100</f>
        <v>11.531407611187531</v>
      </c>
    </row>
    <row r="47" spans="2:54" ht="15.75" thickBot="1" x14ac:dyDescent="0.3">
      <c r="E47" s="56"/>
      <c r="I47" s="56"/>
      <c r="K47" s="56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V47" s="173"/>
      <c r="AW47" s="173"/>
      <c r="AX47" s="173"/>
      <c r="AY47" s="173"/>
      <c r="AZ47" s="173"/>
      <c r="BA47" s="173"/>
      <c r="BB47" s="173"/>
    </row>
    <row r="48" spans="2:54" ht="21.75" thickBot="1" x14ac:dyDescent="0.4">
      <c r="C48" s="181" t="s">
        <v>90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3"/>
      <c r="U48" s="15"/>
      <c r="V48" s="134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t="s">
        <v>112</v>
      </c>
      <c r="AN48" s="175">
        <f>_xlfn.STDEV.P(AN37:AN38)/SQRT(2)</f>
        <v>0</v>
      </c>
      <c r="AO48" s="175">
        <f t="shared" ref="AO48:AT48" si="86">_xlfn.STDEV.P(AO37:AO38)/SQRT(2)</f>
        <v>2.3390300649936305E-3</v>
      </c>
      <c r="AP48" s="175">
        <f t="shared" si="86"/>
        <v>5.4152153086103293E-3</v>
      </c>
      <c r="AQ48" s="175">
        <f t="shared" si="86"/>
        <v>5.0558185413025292E-4</v>
      </c>
      <c r="AR48" s="175">
        <f t="shared" si="86"/>
        <v>1.2705210092873188E-2</v>
      </c>
      <c r="AS48" s="175">
        <f t="shared" si="86"/>
        <v>3.2779784558316909E-3</v>
      </c>
      <c r="AT48" s="175">
        <f t="shared" si="86"/>
        <v>1.7831670318779577E-3</v>
      </c>
      <c r="AV48" s="173">
        <f t="shared" ref="AV47:AV49" si="87">AN48*100</f>
        <v>0</v>
      </c>
      <c r="AW48" s="173">
        <f t="shared" ref="AW48:AW49" si="88">AO48*100</f>
        <v>0.23390300649936305</v>
      </c>
      <c r="AX48" s="173">
        <f t="shared" ref="AX48:AX49" si="89">AP48*100</f>
        <v>0.54152153086103294</v>
      </c>
      <c r="AY48" s="173">
        <f t="shared" ref="AY48:AY49" si="90">AQ48*100</f>
        <v>5.0558185413025293E-2</v>
      </c>
      <c r="AZ48" s="173">
        <f t="shared" ref="AZ48:AZ49" si="91">AR48*100</f>
        <v>1.2705210092873187</v>
      </c>
      <c r="BA48" s="173">
        <f t="shared" ref="BA47:BA49" si="92">AS48*100</f>
        <v>0.3277978455831691</v>
      </c>
      <c r="BB48" s="173">
        <f t="shared" ref="BB48:BB49" si="93">AT48*100</f>
        <v>0.17831670318779577</v>
      </c>
    </row>
    <row r="49" spans="2:54" ht="30.75" thickBot="1" x14ac:dyDescent="0.3">
      <c r="B49" s="20"/>
      <c r="C49" s="28" t="s">
        <v>37</v>
      </c>
      <c r="D49" s="30" t="s">
        <v>38</v>
      </c>
      <c r="E49" s="28" t="s">
        <v>76</v>
      </c>
      <c r="F49" s="30" t="s">
        <v>64</v>
      </c>
      <c r="G49" s="28" t="s">
        <v>39</v>
      </c>
      <c r="H49" s="30" t="s">
        <v>40</v>
      </c>
      <c r="I49" s="28" t="s">
        <v>41</v>
      </c>
      <c r="J49" s="30" t="s">
        <v>42</v>
      </c>
      <c r="K49" s="28" t="s">
        <v>43</v>
      </c>
      <c r="L49" s="30" t="s">
        <v>44</v>
      </c>
      <c r="M49" s="28" t="s">
        <v>45</v>
      </c>
      <c r="N49" s="30" t="s">
        <v>46</v>
      </c>
      <c r="O49" s="28" t="s">
        <v>49</v>
      </c>
      <c r="P49" s="30" t="s">
        <v>50</v>
      </c>
      <c r="Q49" s="29" t="s">
        <v>47</v>
      </c>
      <c r="R49" s="30" t="s">
        <v>48</v>
      </c>
      <c r="U49" s="15"/>
      <c r="V49" s="134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5" t="s">
        <v>113</v>
      </c>
      <c r="AN49" s="175">
        <f>_xlfn.STDEV.P(AN39:AN40)/SQRT(2)</f>
        <v>7.8637729407907905E-3</v>
      </c>
      <c r="AO49" s="175">
        <f t="shared" ref="AO49:AT49" si="94">_xlfn.STDEV.P(AO39:AO40)/SQRT(2)</f>
        <v>5.3977616884457976E-4</v>
      </c>
      <c r="AP49" s="175">
        <f t="shared" si="94"/>
        <v>6.4380893113479458E-3</v>
      </c>
      <c r="AQ49" s="175">
        <f t="shared" si="94"/>
        <v>4.4811405004409943E-2</v>
      </c>
      <c r="AR49" s="175">
        <f t="shared" si="94"/>
        <v>8.4326615660662606E-4</v>
      </c>
      <c r="AS49" s="175">
        <f t="shared" si="94"/>
        <v>1.5089107177637878E-2</v>
      </c>
      <c r="AT49" s="175">
        <f t="shared" si="94"/>
        <v>1.0536896097461064E-2</v>
      </c>
      <c r="AV49" s="173">
        <f t="shared" si="87"/>
        <v>0.78637729407907908</v>
      </c>
      <c r="AW49" s="173">
        <f t="shared" si="88"/>
        <v>5.3977616884457978E-2</v>
      </c>
      <c r="AX49" s="173">
        <f t="shared" si="89"/>
        <v>0.64380893113479454</v>
      </c>
      <c r="AY49" s="173">
        <f t="shared" si="90"/>
        <v>4.4811405004409943</v>
      </c>
      <c r="AZ49" s="173">
        <f t="shared" si="91"/>
        <v>8.4326615660662602E-2</v>
      </c>
      <c r="BA49" s="173">
        <f t="shared" si="92"/>
        <v>1.5089107177637877</v>
      </c>
      <c r="BB49" s="173">
        <f t="shared" si="93"/>
        <v>1.0536896097461064</v>
      </c>
    </row>
    <row r="50" spans="2:54" x14ac:dyDescent="0.25">
      <c r="B50" s="20"/>
      <c r="C50" s="184" t="s">
        <v>57</v>
      </c>
      <c r="D50" s="185"/>
      <c r="E50" s="184" t="s">
        <v>57</v>
      </c>
      <c r="F50" s="185"/>
      <c r="G50" s="184" t="s">
        <v>57</v>
      </c>
      <c r="H50" s="185"/>
      <c r="I50" s="184" t="s">
        <v>57</v>
      </c>
      <c r="J50" s="185"/>
      <c r="K50" s="184" t="s">
        <v>57</v>
      </c>
      <c r="L50" s="185"/>
      <c r="M50" s="184" t="s">
        <v>57</v>
      </c>
      <c r="N50" s="185"/>
      <c r="O50" s="184" t="s">
        <v>57</v>
      </c>
      <c r="P50" s="185"/>
      <c r="Q50" s="184" t="s">
        <v>57</v>
      </c>
      <c r="R50" s="185"/>
      <c r="U50" s="15"/>
      <c r="V50" s="134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</row>
    <row r="51" spans="2:54" ht="15.75" thickBot="1" x14ac:dyDescent="0.3">
      <c r="B51" s="20"/>
      <c r="C51" s="31" t="s">
        <v>58</v>
      </c>
      <c r="D51" s="32" t="s">
        <v>59</v>
      </c>
      <c r="E51" s="31" t="s">
        <v>58</v>
      </c>
      <c r="F51" s="32" t="s">
        <v>59</v>
      </c>
      <c r="G51" s="31" t="s">
        <v>58</v>
      </c>
      <c r="H51" s="32" t="s">
        <v>59</v>
      </c>
      <c r="I51" s="31" t="s">
        <v>58</v>
      </c>
      <c r="J51" s="32" t="s">
        <v>59</v>
      </c>
      <c r="K51" s="31" t="s">
        <v>58</v>
      </c>
      <c r="L51" s="32" t="s">
        <v>59</v>
      </c>
      <c r="M51" s="31" t="s">
        <v>58</v>
      </c>
      <c r="N51" s="32" t="s">
        <v>59</v>
      </c>
      <c r="O51" s="31" t="s">
        <v>58</v>
      </c>
      <c r="P51" s="32" t="s">
        <v>59</v>
      </c>
      <c r="Q51" s="31" t="s">
        <v>58</v>
      </c>
      <c r="R51" s="32" t="s">
        <v>59</v>
      </c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spans="2:54" x14ac:dyDescent="0.25">
      <c r="B52" s="22" t="s">
        <v>53</v>
      </c>
      <c r="C52" s="39">
        <v>59.85</v>
      </c>
      <c r="D52" s="39">
        <v>60.35</v>
      </c>
      <c r="E52" s="39">
        <v>34.15</v>
      </c>
      <c r="F52" s="40">
        <v>33.770000000000003</v>
      </c>
      <c r="G52" s="41">
        <v>56.33</v>
      </c>
      <c r="H52" s="40">
        <v>55.83</v>
      </c>
      <c r="I52" s="41">
        <v>56.56</v>
      </c>
      <c r="J52" s="40">
        <v>56.28</v>
      </c>
      <c r="K52" s="41">
        <v>55.47</v>
      </c>
      <c r="L52" s="40">
        <v>55.87</v>
      </c>
      <c r="M52" s="41">
        <v>54.57</v>
      </c>
      <c r="N52" s="40">
        <v>53.65</v>
      </c>
      <c r="O52" s="41">
        <v>34.130000000000003</v>
      </c>
      <c r="P52" s="40">
        <v>34.08</v>
      </c>
      <c r="Q52" s="42">
        <v>27.95</v>
      </c>
      <c r="R52" s="43">
        <v>28.26</v>
      </c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9"/>
      <c r="AN52" s="135">
        <f>AVERAGE(AN45:AO45)</f>
        <v>2.7268871925360472E-2</v>
      </c>
      <c r="AO52" s="135">
        <f>AVERAGE(AP45:AQ45)</f>
        <v>3.4893869579218834E-2</v>
      </c>
      <c r="AP52" s="135">
        <f>AVERAGE(AR45:AT45)</f>
        <v>9.3772274792638666E-2</v>
      </c>
      <c r="AQ52" s="135">
        <f xml:space="preserve"> STDEV(AR45:AT45)/SQRT(3)</f>
        <v>1.6456118761977556E-2</v>
      </c>
      <c r="AR52" s="135">
        <f>AVERAGE(AN52:AP52)</f>
        <v>5.1978338765739318E-2</v>
      </c>
      <c r="AS52" s="15"/>
    </row>
    <row r="53" spans="2:54" x14ac:dyDescent="0.25">
      <c r="B53" s="23" t="s">
        <v>54</v>
      </c>
      <c r="C53" s="44">
        <v>26.13</v>
      </c>
      <c r="D53" s="44">
        <v>26.12</v>
      </c>
      <c r="E53" s="44">
        <v>11.87</v>
      </c>
      <c r="F53" s="45">
        <v>11.87</v>
      </c>
      <c r="G53" s="46">
        <v>26.47</v>
      </c>
      <c r="H53" s="45">
        <v>26.63</v>
      </c>
      <c r="I53" s="46">
        <v>26.57</v>
      </c>
      <c r="J53" s="45">
        <v>26.58</v>
      </c>
      <c r="K53" s="46">
        <v>27.01</v>
      </c>
      <c r="L53" s="45">
        <v>26.74</v>
      </c>
      <c r="M53" s="46">
        <v>26.86</v>
      </c>
      <c r="N53" s="45">
        <v>26.67</v>
      </c>
      <c r="O53" s="46">
        <v>12.73</v>
      </c>
      <c r="P53" s="45">
        <v>12.63</v>
      </c>
      <c r="Q53" s="47">
        <v>11.45</v>
      </c>
      <c r="R53" s="48">
        <v>11.48</v>
      </c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9"/>
      <c r="AN53" s="135">
        <f>AVERAGE(AN46:AO46)</f>
        <v>0.33005838354631589</v>
      </c>
      <c r="AO53" s="135">
        <f>AVERAGE(AP46:AQ46)</f>
        <v>0.14272109275796602</v>
      </c>
      <c r="AP53" s="135">
        <f>AVERAGE(AR46:AT46)</f>
        <v>0.14791780702488569</v>
      </c>
      <c r="AQ53" s="135"/>
      <c r="AR53" s="135">
        <f>AVERAGE(AN53:AP53)</f>
        <v>0.20689909444305588</v>
      </c>
      <c r="AS53" s="15"/>
      <c r="AT53" s="175">
        <f>STDEV(AP46:AT46)</f>
        <v>2.4088696654579734E-2</v>
      </c>
      <c r="AU53" s="173">
        <f>AVERAGE(AP46:AT46)</f>
        <v>0.14583912131811783</v>
      </c>
    </row>
    <row r="54" spans="2:54" ht="15.75" thickBot="1" x14ac:dyDescent="0.3">
      <c r="B54" s="21" t="s">
        <v>55</v>
      </c>
      <c r="C54" s="34">
        <f>C52-C53</f>
        <v>33.72</v>
      </c>
      <c r="D54" s="35">
        <f t="shared" ref="D54" si="95">D52-D53</f>
        <v>34.230000000000004</v>
      </c>
      <c r="E54" s="35">
        <f t="shared" ref="E54:G54" si="96">E52-E53</f>
        <v>22.28</v>
      </c>
      <c r="F54" s="34">
        <f t="shared" si="96"/>
        <v>21.900000000000006</v>
      </c>
      <c r="G54" s="35">
        <f t="shared" si="96"/>
        <v>29.86</v>
      </c>
      <c r="H54" s="34">
        <f>H52-H53</f>
        <v>29.2</v>
      </c>
      <c r="I54" s="34">
        <f>I52-I53</f>
        <v>29.990000000000002</v>
      </c>
      <c r="J54" s="34">
        <f t="shared" ref="J54:R54" si="97">J52-J53</f>
        <v>29.700000000000003</v>
      </c>
      <c r="K54" s="34">
        <f t="shared" si="97"/>
        <v>28.459999999999997</v>
      </c>
      <c r="L54" s="34">
        <f t="shared" si="97"/>
        <v>29.13</v>
      </c>
      <c r="M54" s="35">
        <f t="shared" si="97"/>
        <v>27.71</v>
      </c>
      <c r="N54" s="34">
        <f t="shared" si="97"/>
        <v>26.979999999999997</v>
      </c>
      <c r="O54" s="35">
        <f t="shared" si="97"/>
        <v>21.400000000000002</v>
      </c>
      <c r="P54" s="34">
        <f t="shared" si="97"/>
        <v>21.449999999999996</v>
      </c>
      <c r="Q54" s="34">
        <f t="shared" si="97"/>
        <v>16.5</v>
      </c>
      <c r="R54" s="34">
        <f t="shared" si="97"/>
        <v>16.78</v>
      </c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9"/>
      <c r="AN54" s="19"/>
      <c r="AO54" s="135"/>
      <c r="AP54" s="135"/>
      <c r="AQ54" s="135"/>
      <c r="AR54" s="135"/>
      <c r="AS54" s="15"/>
    </row>
    <row r="55" spans="2:54" ht="15.75" thickBot="1" x14ac:dyDescent="0.3"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 t="s">
        <v>111</v>
      </c>
      <c r="AN55" s="19">
        <f t="shared" ref="AN55:AT55" si="98">W35</f>
        <v>30.73</v>
      </c>
      <c r="AO55" s="19">
        <f t="shared" si="98"/>
        <v>29.475000000000001</v>
      </c>
      <c r="AP55" s="19">
        <f t="shared" si="98"/>
        <v>29.380000000000006</v>
      </c>
      <c r="AQ55" s="19">
        <f t="shared" si="98"/>
        <v>31.468500000000002</v>
      </c>
      <c r="AR55" s="19">
        <f t="shared" si="98"/>
        <v>31.445</v>
      </c>
      <c r="AS55" s="19">
        <f t="shared" si="98"/>
        <v>33.975000000000001</v>
      </c>
      <c r="AT55" s="19">
        <f t="shared" si="98"/>
        <v>32.715000000000003</v>
      </c>
    </row>
    <row r="56" spans="2:54" ht="21.75" thickBot="1" x14ac:dyDescent="0.4">
      <c r="C56" s="181" t="s">
        <v>91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3"/>
      <c r="U56" s="15"/>
      <c r="V56" s="134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5"/>
      <c r="AN56" s="15"/>
      <c r="AO56" s="15"/>
      <c r="AP56" s="15"/>
      <c r="AQ56" s="15"/>
      <c r="AR56" s="15"/>
      <c r="AS56" s="15"/>
    </row>
    <row r="57" spans="2:54" ht="30.75" thickBot="1" x14ac:dyDescent="0.3">
      <c r="B57" s="20"/>
      <c r="C57" s="28" t="s">
        <v>37</v>
      </c>
      <c r="D57" s="30" t="s">
        <v>38</v>
      </c>
      <c r="E57" s="28" t="s">
        <v>76</v>
      </c>
      <c r="F57" s="30" t="s">
        <v>64</v>
      </c>
      <c r="G57" s="28" t="s">
        <v>39</v>
      </c>
      <c r="H57" s="30" t="s">
        <v>40</v>
      </c>
      <c r="I57" s="28" t="s">
        <v>41</v>
      </c>
      <c r="J57" s="30" t="s">
        <v>42</v>
      </c>
      <c r="K57" s="28" t="s">
        <v>43</v>
      </c>
      <c r="L57" s="30" t="s">
        <v>44</v>
      </c>
      <c r="M57" s="28" t="s">
        <v>45</v>
      </c>
      <c r="N57" s="30" t="s">
        <v>46</v>
      </c>
      <c r="O57" s="28" t="s">
        <v>49</v>
      </c>
      <c r="P57" s="30" t="s">
        <v>50</v>
      </c>
      <c r="Q57" s="29" t="s">
        <v>47</v>
      </c>
      <c r="R57" s="30" t="s">
        <v>48</v>
      </c>
      <c r="U57" s="15"/>
      <c r="V57" s="134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5"/>
      <c r="AN57" s="15"/>
      <c r="AO57" s="15"/>
      <c r="AP57" s="15"/>
      <c r="AQ57" s="15"/>
      <c r="AR57" s="15"/>
      <c r="AS57" s="15"/>
    </row>
    <row r="58" spans="2:54" x14ac:dyDescent="0.25">
      <c r="B58" s="20"/>
      <c r="C58" s="184" t="s">
        <v>57</v>
      </c>
      <c r="D58" s="185"/>
      <c r="E58" s="184" t="s">
        <v>57</v>
      </c>
      <c r="F58" s="185"/>
      <c r="G58" s="184" t="s">
        <v>57</v>
      </c>
      <c r="H58" s="185"/>
      <c r="I58" s="184" t="s">
        <v>57</v>
      </c>
      <c r="J58" s="185"/>
      <c r="K58" s="184" t="s">
        <v>57</v>
      </c>
      <c r="L58" s="185"/>
      <c r="M58" s="184" t="s">
        <v>57</v>
      </c>
      <c r="N58" s="185"/>
      <c r="O58" s="184" t="s">
        <v>57</v>
      </c>
      <c r="P58" s="185"/>
      <c r="Q58" s="184" t="s">
        <v>57</v>
      </c>
      <c r="R58" s="185"/>
      <c r="U58" s="15"/>
      <c r="V58" s="134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5"/>
      <c r="AN58" s="15"/>
      <c r="AO58" s="15"/>
      <c r="AP58" s="15"/>
      <c r="AQ58" s="15"/>
      <c r="AR58" s="15"/>
      <c r="AS58" s="15"/>
    </row>
    <row r="59" spans="2:54" ht="15.75" thickBot="1" x14ac:dyDescent="0.3">
      <c r="B59" s="20"/>
      <c r="C59" s="31" t="s">
        <v>58</v>
      </c>
      <c r="D59" s="32" t="s">
        <v>59</v>
      </c>
      <c r="E59" s="31" t="s">
        <v>58</v>
      </c>
      <c r="F59" s="32" t="s">
        <v>59</v>
      </c>
      <c r="G59" s="31" t="s">
        <v>58</v>
      </c>
      <c r="H59" s="32" t="s">
        <v>59</v>
      </c>
      <c r="I59" s="31" t="s">
        <v>58</v>
      </c>
      <c r="J59" s="32" t="s">
        <v>59</v>
      </c>
      <c r="K59" s="31" t="s">
        <v>58</v>
      </c>
      <c r="L59" s="32" t="s">
        <v>59</v>
      </c>
      <c r="M59" s="31" t="s">
        <v>58</v>
      </c>
      <c r="N59" s="32" t="s">
        <v>59</v>
      </c>
      <c r="O59" s="31" t="s">
        <v>58</v>
      </c>
      <c r="P59" s="32" t="s">
        <v>59</v>
      </c>
      <c r="Q59" s="31" t="s">
        <v>58</v>
      </c>
      <c r="R59" s="32" t="s">
        <v>59</v>
      </c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</row>
    <row r="60" spans="2:54" x14ac:dyDescent="0.25">
      <c r="B60" s="22" t="s">
        <v>53</v>
      </c>
      <c r="C60" s="39">
        <v>58.8</v>
      </c>
      <c r="D60" s="39">
        <v>60.06</v>
      </c>
      <c r="E60" s="39">
        <v>42</v>
      </c>
      <c r="F60" s="40">
        <v>41.64</v>
      </c>
      <c r="G60" s="41">
        <v>56.97</v>
      </c>
      <c r="H60" s="40">
        <v>56.35</v>
      </c>
      <c r="I60" s="41">
        <v>56.39</v>
      </c>
      <c r="J60" s="40">
        <v>56.35</v>
      </c>
      <c r="K60" s="41">
        <v>55.95</v>
      </c>
      <c r="L60" s="40">
        <v>55.95</v>
      </c>
      <c r="M60" s="41">
        <v>54.74</v>
      </c>
      <c r="N60" s="40">
        <v>55.03</v>
      </c>
      <c r="O60" s="41">
        <v>39.01</v>
      </c>
      <c r="P60" s="40">
        <v>39.01</v>
      </c>
      <c r="Q60" s="42">
        <v>38.61</v>
      </c>
      <c r="R60" s="43">
        <v>39.33</v>
      </c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</row>
    <row r="61" spans="2:54" x14ac:dyDescent="0.25">
      <c r="B61" s="23" t="s">
        <v>54</v>
      </c>
      <c r="C61" s="44">
        <v>26.71</v>
      </c>
      <c r="D61" s="44">
        <v>26.72</v>
      </c>
      <c r="E61" s="44">
        <v>15.42</v>
      </c>
      <c r="F61" s="45">
        <v>15.46</v>
      </c>
      <c r="G61" s="46">
        <v>26.71</v>
      </c>
      <c r="H61" s="45">
        <v>26.41</v>
      </c>
      <c r="I61" s="46">
        <v>26.46</v>
      </c>
      <c r="J61" s="45">
        <v>26.41</v>
      </c>
      <c r="K61" s="46">
        <v>26.44</v>
      </c>
      <c r="L61" s="45">
        <v>26.6</v>
      </c>
      <c r="M61" s="46">
        <v>26.36</v>
      </c>
      <c r="N61" s="45">
        <v>26.5</v>
      </c>
      <c r="O61" s="46">
        <v>15.61</v>
      </c>
      <c r="P61" s="45">
        <v>15.43</v>
      </c>
      <c r="Q61" s="47">
        <v>16.190000000000001</v>
      </c>
      <c r="R61" s="48">
        <v>16.46</v>
      </c>
    </row>
    <row r="62" spans="2:54" ht="15.75" thickBot="1" x14ac:dyDescent="0.3">
      <c r="B62" s="21" t="s">
        <v>55</v>
      </c>
      <c r="C62" s="34">
        <f>C60-C61</f>
        <v>32.089999999999996</v>
      </c>
      <c r="D62" s="35">
        <f t="shared" ref="D62:G62" si="99">D60-D61</f>
        <v>33.340000000000003</v>
      </c>
      <c r="E62" s="35">
        <f t="shared" si="99"/>
        <v>26.58</v>
      </c>
      <c r="F62" s="34">
        <f t="shared" si="99"/>
        <v>26.18</v>
      </c>
      <c r="G62" s="35">
        <f t="shared" si="99"/>
        <v>30.259999999999998</v>
      </c>
      <c r="H62" s="34">
        <f>H60-H61</f>
        <v>29.94</v>
      </c>
      <c r="I62" s="34">
        <f>I60-I61</f>
        <v>29.93</v>
      </c>
      <c r="J62" s="34">
        <f t="shared" ref="J62:R62" si="100">J60-J61</f>
        <v>29.94</v>
      </c>
      <c r="K62" s="34">
        <f t="shared" si="100"/>
        <v>29.51</v>
      </c>
      <c r="L62" s="34">
        <f t="shared" si="100"/>
        <v>29.35</v>
      </c>
      <c r="M62" s="35">
        <f t="shared" si="100"/>
        <v>28.380000000000003</v>
      </c>
      <c r="N62" s="34">
        <f t="shared" si="100"/>
        <v>28.53</v>
      </c>
      <c r="O62" s="35">
        <f t="shared" si="100"/>
        <v>23.4</v>
      </c>
      <c r="P62" s="34">
        <f t="shared" si="100"/>
        <v>23.58</v>
      </c>
      <c r="Q62" s="34">
        <f t="shared" si="100"/>
        <v>22.419999999999998</v>
      </c>
      <c r="R62" s="34">
        <f t="shared" si="100"/>
        <v>22.869999999999997</v>
      </c>
    </row>
  </sheetData>
  <mergeCells count="72">
    <mergeCell ref="C56:R56"/>
    <mergeCell ref="C58:D58"/>
    <mergeCell ref="E58:F58"/>
    <mergeCell ref="G58:H58"/>
    <mergeCell ref="I58:J58"/>
    <mergeCell ref="K58:L58"/>
    <mergeCell ref="M58:N58"/>
    <mergeCell ref="O58:P58"/>
    <mergeCell ref="Q58:R58"/>
    <mergeCell ref="AF3:AL3"/>
    <mergeCell ref="AF18:AL18"/>
    <mergeCell ref="AF32:AL32"/>
    <mergeCell ref="AN3:AT3"/>
    <mergeCell ref="AN18:AT18"/>
    <mergeCell ref="AN32:AT32"/>
    <mergeCell ref="C23:D23"/>
    <mergeCell ref="Q32:R32"/>
    <mergeCell ref="O23:P23"/>
    <mergeCell ref="E32:F32"/>
    <mergeCell ref="E5:F5"/>
    <mergeCell ref="E14:F14"/>
    <mergeCell ref="E23:F23"/>
    <mergeCell ref="C12:R12"/>
    <mergeCell ref="C21:R21"/>
    <mergeCell ref="C30:R30"/>
    <mergeCell ref="C32:D32"/>
    <mergeCell ref="G32:H32"/>
    <mergeCell ref="I32:J32"/>
    <mergeCell ref="O32:P32"/>
    <mergeCell ref="Q23:R23"/>
    <mergeCell ref="Q14:R14"/>
    <mergeCell ref="W3:AC3"/>
    <mergeCell ref="W18:AC18"/>
    <mergeCell ref="W32:AC32"/>
    <mergeCell ref="G23:H23"/>
    <mergeCell ref="I23:J23"/>
    <mergeCell ref="K23:L23"/>
    <mergeCell ref="M23:N23"/>
    <mergeCell ref="K32:L32"/>
    <mergeCell ref="M32:N32"/>
    <mergeCell ref="O5:P5"/>
    <mergeCell ref="Q5:R5"/>
    <mergeCell ref="C3:R3"/>
    <mergeCell ref="O14:P14"/>
    <mergeCell ref="C14:D14"/>
    <mergeCell ref="G14:H14"/>
    <mergeCell ref="I14:J14"/>
    <mergeCell ref="K14:L14"/>
    <mergeCell ref="M14:N14"/>
    <mergeCell ref="C5:D5"/>
    <mergeCell ref="G5:H5"/>
    <mergeCell ref="I5:J5"/>
    <mergeCell ref="K5:L5"/>
    <mergeCell ref="M5:N5"/>
    <mergeCell ref="C40:R40"/>
    <mergeCell ref="C42:D42"/>
    <mergeCell ref="E42:F42"/>
    <mergeCell ref="G42:H42"/>
    <mergeCell ref="I42:J42"/>
    <mergeCell ref="K42:L42"/>
    <mergeCell ref="M42:N42"/>
    <mergeCell ref="O42:P42"/>
    <mergeCell ref="Q42:R42"/>
    <mergeCell ref="C48:R48"/>
    <mergeCell ref="C50:D50"/>
    <mergeCell ref="E50:F50"/>
    <mergeCell ref="G50:H50"/>
    <mergeCell ref="I50:J50"/>
    <mergeCell ref="K50:L50"/>
    <mergeCell ref="M50:N50"/>
    <mergeCell ref="O50:P50"/>
    <mergeCell ref="Q50:R5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84"/>
  <sheetViews>
    <sheetView topLeftCell="AD34" zoomScale="70" zoomScaleNormal="70" workbookViewId="0">
      <selection activeCell="BA33" sqref="BA33"/>
    </sheetView>
  </sheetViews>
  <sheetFormatPr defaultRowHeight="15" x14ac:dyDescent="0.25"/>
  <cols>
    <col min="2" max="2" width="10.42578125" bestFit="1" customWidth="1"/>
    <col min="3" max="3" width="10.7109375" bestFit="1" customWidth="1"/>
    <col min="5" max="5" width="8.7109375" bestFit="1" customWidth="1"/>
    <col min="7" max="7" width="10.42578125" bestFit="1" customWidth="1"/>
    <col min="8" max="8" width="9.5703125" bestFit="1" customWidth="1"/>
    <col min="9" max="9" width="12.7109375" customWidth="1"/>
    <col min="13" max="13" width="12" customWidth="1"/>
    <col min="14" max="14" width="11" customWidth="1"/>
    <col min="15" max="15" width="10.140625" customWidth="1"/>
    <col min="16" max="16" width="10.5703125" customWidth="1"/>
    <col min="21" max="21" width="10.42578125" bestFit="1" customWidth="1"/>
    <col min="28" max="28" width="10.85546875" customWidth="1"/>
    <col min="30" max="30" width="4.140625" customWidth="1"/>
    <col min="38" max="39" width="11.85546875" customWidth="1"/>
  </cols>
  <sheetData>
    <row r="2" spans="2:58" ht="15.75" thickBot="1" x14ac:dyDescent="0.3"/>
    <row r="3" spans="2:58" ht="21.75" thickBot="1" x14ac:dyDescent="0.4">
      <c r="C3" s="181" t="s">
        <v>36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  <c r="V3" s="181" t="s">
        <v>36</v>
      </c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3"/>
      <c r="AM3" s="93"/>
    </row>
    <row r="4" spans="2:58" ht="30.75" thickBot="1" x14ac:dyDescent="0.4">
      <c r="B4" s="20"/>
      <c r="C4" s="28" t="s">
        <v>37</v>
      </c>
      <c r="D4" s="30" t="s">
        <v>38</v>
      </c>
      <c r="E4" s="28" t="s">
        <v>76</v>
      </c>
      <c r="F4" s="30" t="s">
        <v>64</v>
      </c>
      <c r="G4" s="28" t="s">
        <v>39</v>
      </c>
      <c r="H4" s="30" t="s">
        <v>40</v>
      </c>
      <c r="I4" s="28" t="s">
        <v>41</v>
      </c>
      <c r="J4" s="30" t="s">
        <v>42</v>
      </c>
      <c r="K4" s="28" t="s">
        <v>43</v>
      </c>
      <c r="L4" s="30" t="s">
        <v>44</v>
      </c>
      <c r="M4" s="28" t="s">
        <v>45</v>
      </c>
      <c r="N4" s="30" t="s">
        <v>46</v>
      </c>
      <c r="O4" s="28" t="s">
        <v>49</v>
      </c>
      <c r="P4" s="30" t="s">
        <v>50</v>
      </c>
      <c r="Q4" s="29" t="s">
        <v>47</v>
      </c>
      <c r="R4" s="30" t="s">
        <v>48</v>
      </c>
      <c r="V4" s="189" t="s">
        <v>80</v>
      </c>
      <c r="W4" s="190"/>
      <c r="X4" s="190"/>
      <c r="Y4" s="190"/>
      <c r="Z4" s="190"/>
      <c r="AA4" s="190"/>
      <c r="AB4" s="190"/>
      <c r="AC4" s="191"/>
      <c r="AE4" s="189" t="s">
        <v>81</v>
      </c>
      <c r="AF4" s="190"/>
      <c r="AG4" s="190"/>
      <c r="AH4" s="190"/>
      <c r="AI4" s="190"/>
      <c r="AJ4" s="190"/>
      <c r="AK4" s="190"/>
      <c r="AL4" s="191"/>
      <c r="AM4" s="94"/>
      <c r="AO4" s="181" t="s">
        <v>82</v>
      </c>
      <c r="AP4" s="182"/>
      <c r="AQ4" s="182"/>
      <c r="AR4" s="182"/>
      <c r="AS4" s="182"/>
      <c r="AT4" s="182"/>
      <c r="AU4" s="182"/>
      <c r="AV4" s="183"/>
      <c r="AX4" s="181" t="s">
        <v>83</v>
      </c>
      <c r="AY4" s="182"/>
      <c r="AZ4" s="182"/>
      <c r="BA4" s="182"/>
      <c r="BB4" s="182"/>
      <c r="BC4" s="182"/>
      <c r="BD4" s="182"/>
      <c r="BE4" s="183"/>
    </row>
    <row r="5" spans="2:58" ht="30" x14ac:dyDescent="0.25">
      <c r="B5" s="20"/>
      <c r="C5" s="184" t="s">
        <v>57</v>
      </c>
      <c r="D5" s="185"/>
      <c r="E5" s="184" t="s">
        <v>57</v>
      </c>
      <c r="F5" s="185"/>
      <c r="G5" s="184" t="s">
        <v>57</v>
      </c>
      <c r="H5" s="185"/>
      <c r="I5" s="184" t="s">
        <v>57</v>
      </c>
      <c r="J5" s="185"/>
      <c r="K5" s="184" t="s">
        <v>57</v>
      </c>
      <c r="L5" s="185"/>
      <c r="M5" s="184" t="s">
        <v>57</v>
      </c>
      <c r="N5" s="185"/>
      <c r="O5" s="184" t="s">
        <v>57</v>
      </c>
      <c r="P5" s="185"/>
      <c r="Q5" s="184" t="s">
        <v>57</v>
      </c>
      <c r="R5" s="185"/>
      <c r="V5" s="78" t="s">
        <v>51</v>
      </c>
      <c r="W5" s="79" t="s">
        <v>77</v>
      </c>
      <c r="X5" s="79" t="s">
        <v>18</v>
      </c>
      <c r="Y5" s="79" t="s">
        <v>19</v>
      </c>
      <c r="Z5" s="79" t="s">
        <v>79</v>
      </c>
      <c r="AA5" s="79" t="s">
        <v>21</v>
      </c>
      <c r="AB5" s="79" t="s">
        <v>22</v>
      </c>
      <c r="AC5" s="80" t="s">
        <v>66</v>
      </c>
      <c r="AE5" s="78" t="s">
        <v>51</v>
      </c>
      <c r="AF5" s="79" t="s">
        <v>77</v>
      </c>
      <c r="AG5" s="79" t="s">
        <v>18</v>
      </c>
      <c r="AH5" s="79" t="s">
        <v>19</v>
      </c>
      <c r="AI5" s="79" t="s">
        <v>79</v>
      </c>
      <c r="AJ5" s="79" t="s">
        <v>21</v>
      </c>
      <c r="AK5" s="79" t="s">
        <v>22</v>
      </c>
      <c r="AL5" s="80" t="s">
        <v>66</v>
      </c>
      <c r="AM5" s="24"/>
      <c r="AO5" s="78" t="s">
        <v>51</v>
      </c>
      <c r="AP5" s="79" t="s">
        <v>77</v>
      </c>
      <c r="AQ5" s="79" t="s">
        <v>18</v>
      </c>
      <c r="AR5" s="79" t="s">
        <v>19</v>
      </c>
      <c r="AS5" s="79" t="s">
        <v>79</v>
      </c>
      <c r="AT5" s="79" t="s">
        <v>21</v>
      </c>
      <c r="AU5" s="79" t="s">
        <v>22</v>
      </c>
      <c r="AV5" s="80" t="s">
        <v>66</v>
      </c>
      <c r="AX5" s="78" t="s">
        <v>51</v>
      </c>
      <c r="AY5" s="79" t="s">
        <v>77</v>
      </c>
      <c r="AZ5" s="79" t="s">
        <v>18</v>
      </c>
      <c r="BA5" s="79" t="s">
        <v>19</v>
      </c>
      <c r="BB5" s="79" t="s">
        <v>79</v>
      </c>
      <c r="BC5" s="79" t="s">
        <v>21</v>
      </c>
      <c r="BD5" s="79" t="s">
        <v>22</v>
      </c>
      <c r="BE5" s="80" t="s">
        <v>66</v>
      </c>
    </row>
    <row r="6" spans="2:58" ht="15.75" thickBot="1" x14ac:dyDescent="0.3">
      <c r="B6" s="20"/>
      <c r="C6" s="31" t="s">
        <v>58</v>
      </c>
      <c r="D6" s="32" t="s">
        <v>59</v>
      </c>
      <c r="E6" s="31" t="s">
        <v>58</v>
      </c>
      <c r="F6" s="32" t="s">
        <v>59</v>
      </c>
      <c r="G6" s="31" t="s">
        <v>58</v>
      </c>
      <c r="H6" s="32" t="s">
        <v>59</v>
      </c>
      <c r="I6" s="31" t="s">
        <v>58</v>
      </c>
      <c r="J6" s="32" t="s">
        <v>59</v>
      </c>
      <c r="K6" s="31" t="s">
        <v>58</v>
      </c>
      <c r="L6" s="32" t="s">
        <v>59</v>
      </c>
      <c r="M6" s="31" t="s">
        <v>58</v>
      </c>
      <c r="N6" s="32" t="s">
        <v>59</v>
      </c>
      <c r="O6" s="31" t="s">
        <v>58</v>
      </c>
      <c r="P6" s="32" t="s">
        <v>59</v>
      </c>
      <c r="Q6" s="31" t="s">
        <v>58</v>
      </c>
      <c r="R6" s="32" t="s">
        <v>59</v>
      </c>
      <c r="V6" s="31" t="s">
        <v>57</v>
      </c>
      <c r="W6" s="81" t="s">
        <v>57</v>
      </c>
      <c r="X6" s="81" t="s">
        <v>57</v>
      </c>
      <c r="Y6" s="81" t="s">
        <v>57</v>
      </c>
      <c r="Z6" s="81" t="s">
        <v>57</v>
      </c>
      <c r="AA6" s="81" t="s">
        <v>57</v>
      </c>
      <c r="AB6" s="81" t="s">
        <v>57</v>
      </c>
      <c r="AC6" s="32" t="s">
        <v>57</v>
      </c>
      <c r="AE6" s="82" t="s">
        <v>57</v>
      </c>
      <c r="AF6" s="81" t="s">
        <v>57</v>
      </c>
      <c r="AG6" s="77" t="s">
        <v>57</v>
      </c>
      <c r="AH6" s="77" t="s">
        <v>57</v>
      </c>
      <c r="AI6" s="77" t="s">
        <v>57</v>
      </c>
      <c r="AJ6" s="77" t="s">
        <v>57</v>
      </c>
      <c r="AK6" s="77" t="s">
        <v>57</v>
      </c>
      <c r="AL6" s="83" t="s">
        <v>57</v>
      </c>
      <c r="AM6" s="77"/>
      <c r="AO6" s="82" t="s">
        <v>57</v>
      </c>
      <c r="AP6" s="81" t="s">
        <v>57</v>
      </c>
      <c r="AQ6" s="77" t="s">
        <v>57</v>
      </c>
      <c r="AR6" s="77" t="s">
        <v>57</v>
      </c>
      <c r="AS6" s="77" t="s">
        <v>57</v>
      </c>
      <c r="AT6" s="77" t="s">
        <v>57</v>
      </c>
      <c r="AU6" s="77" t="s">
        <v>57</v>
      </c>
      <c r="AV6" s="83" t="s">
        <v>57</v>
      </c>
      <c r="AX6" s="82" t="s">
        <v>57</v>
      </c>
      <c r="AY6" s="81" t="s">
        <v>57</v>
      </c>
      <c r="AZ6" s="77" t="s">
        <v>57</v>
      </c>
      <c r="BA6" s="77" t="s">
        <v>57</v>
      </c>
      <c r="BB6" s="77" t="s">
        <v>57</v>
      </c>
      <c r="BC6" s="77" t="s">
        <v>57</v>
      </c>
      <c r="BD6" s="77" t="s">
        <v>57</v>
      </c>
      <c r="BE6" s="83" t="s">
        <v>57</v>
      </c>
    </row>
    <row r="7" spans="2:58" ht="15.75" x14ac:dyDescent="0.25">
      <c r="B7" s="22" t="s">
        <v>31</v>
      </c>
      <c r="C7" s="57">
        <v>0.47099999999999997</v>
      </c>
      <c r="D7" s="58">
        <v>0.46300000000000002</v>
      </c>
      <c r="E7" s="57">
        <v>0.47099999999999997</v>
      </c>
      <c r="F7" s="58">
        <v>0.46300000000000002</v>
      </c>
      <c r="G7" s="71">
        <v>0.52800000000000002</v>
      </c>
      <c r="H7" s="72">
        <v>0.54800000000000004</v>
      </c>
      <c r="I7" s="71">
        <v>0.45800000000000002</v>
      </c>
      <c r="J7" s="72">
        <v>0.52800000000000002</v>
      </c>
      <c r="K7" s="71">
        <v>0.34300000000000003</v>
      </c>
      <c r="L7" s="72">
        <v>0.374</v>
      </c>
      <c r="M7" s="71">
        <v>0.28399999999999997</v>
      </c>
      <c r="N7" s="72">
        <v>0.30199999999999999</v>
      </c>
      <c r="O7" s="71">
        <v>0.47699999999999998</v>
      </c>
      <c r="P7" s="72">
        <v>0.48599999999999999</v>
      </c>
      <c r="Q7" s="71">
        <v>0.35299999999999998</v>
      </c>
      <c r="R7" s="59">
        <v>0.36599999999999999</v>
      </c>
      <c r="U7" s="22" t="s">
        <v>31</v>
      </c>
      <c r="V7" s="85">
        <f>AVERAGE(C7:D7)</f>
        <v>0.46699999999999997</v>
      </c>
      <c r="W7" s="86">
        <f>AVERAGE(D7:E7)</f>
        <v>0.46699999999999997</v>
      </c>
      <c r="X7" s="86">
        <f>AVERAGE(G7:H7)</f>
        <v>0.53800000000000003</v>
      </c>
      <c r="Y7" s="86">
        <f>AVERAGE(I7:J7)</f>
        <v>0.49299999999999999</v>
      </c>
      <c r="Z7" s="86">
        <f>AVERAGE(K7:L7)</f>
        <v>0.35850000000000004</v>
      </c>
      <c r="AA7" s="86">
        <f>AVERAGE(M7:N7)</f>
        <v>0.29299999999999998</v>
      </c>
      <c r="AB7" s="86">
        <f>AVERAGE(O7:P7)</f>
        <v>0.48149999999999998</v>
      </c>
      <c r="AC7" s="87">
        <f>AVERAGE(Q7:R7)</f>
        <v>0.35949999999999999</v>
      </c>
      <c r="AE7" s="85">
        <f>STDEV(C7:D7)</f>
        <v>5.6568542494923463E-3</v>
      </c>
      <c r="AF7" s="86"/>
      <c r="AG7" s="86">
        <f>STDEV(G7:H7)</f>
        <v>1.4142135623730963E-2</v>
      </c>
      <c r="AH7" s="86">
        <f>STDEV(I7:J7)</f>
        <v>4.9497474683058332E-2</v>
      </c>
      <c r="AI7" s="86">
        <f>STDEV(K7:L7)</f>
        <v>2.1920310216782955E-2</v>
      </c>
      <c r="AJ7" s="86">
        <f>STDEV(M7:N7)</f>
        <v>1.2727922061357866E-2</v>
      </c>
      <c r="AK7" s="86">
        <f>STDEV(O7:P7)</f>
        <v>6.3639610306789329E-3</v>
      </c>
      <c r="AL7" s="87">
        <f>STDEV(Q7:R7)</f>
        <v>9.1923881554251269E-3</v>
      </c>
      <c r="AM7" s="19"/>
      <c r="AN7" s="95">
        <v>0</v>
      </c>
      <c r="AO7" s="85">
        <f>V7</f>
        <v>0.46699999999999997</v>
      </c>
      <c r="AP7" s="86">
        <f t="shared" ref="AP7:AV7" si="0">W7</f>
        <v>0.46699999999999997</v>
      </c>
      <c r="AQ7" s="86">
        <f t="shared" si="0"/>
        <v>0.53800000000000003</v>
      </c>
      <c r="AR7" s="86">
        <f t="shared" si="0"/>
        <v>0.49299999999999999</v>
      </c>
      <c r="AS7" s="86">
        <f t="shared" si="0"/>
        <v>0.35850000000000004</v>
      </c>
      <c r="AT7" s="86">
        <f t="shared" si="0"/>
        <v>0.29299999999999998</v>
      </c>
      <c r="AU7" s="86">
        <f t="shared" si="0"/>
        <v>0.48149999999999998</v>
      </c>
      <c r="AV7" s="87">
        <f t="shared" si="0"/>
        <v>0.35949999999999999</v>
      </c>
      <c r="AX7" s="85">
        <f>AE7</f>
        <v>5.6568542494923463E-3</v>
      </c>
      <c r="AY7" s="86">
        <f t="shared" ref="AY7:BC7" si="1">AF7</f>
        <v>0</v>
      </c>
      <c r="AZ7" s="86">
        <f t="shared" si="1"/>
        <v>1.4142135623730963E-2</v>
      </c>
      <c r="BA7" s="86">
        <f t="shared" si="1"/>
        <v>4.9497474683058332E-2</v>
      </c>
      <c r="BB7" s="86">
        <f t="shared" si="1"/>
        <v>2.1920310216782955E-2</v>
      </c>
      <c r="BC7" s="86">
        <f t="shared" si="1"/>
        <v>1.2727922061357866E-2</v>
      </c>
      <c r="BD7" s="86">
        <f>AK7</f>
        <v>6.3639610306789329E-3</v>
      </c>
      <c r="BE7" s="87">
        <f t="shared" ref="BE7" si="2">AL7</f>
        <v>9.1923881554251269E-3</v>
      </c>
      <c r="BF7" s="2"/>
    </row>
    <row r="8" spans="2:58" ht="15.75" x14ac:dyDescent="0.25">
      <c r="B8" s="23" t="s">
        <v>32</v>
      </c>
      <c r="C8" s="60">
        <v>27.756</v>
      </c>
      <c r="D8" s="25">
        <v>27.99</v>
      </c>
      <c r="E8" s="60">
        <v>27.756</v>
      </c>
      <c r="F8" s="25">
        <v>27.99</v>
      </c>
      <c r="G8" s="73">
        <v>27.154</v>
      </c>
      <c r="H8" s="74">
        <v>27.076000000000001</v>
      </c>
      <c r="I8" s="73">
        <v>27.431999999999999</v>
      </c>
      <c r="J8" s="74">
        <v>27.15</v>
      </c>
      <c r="K8" s="73">
        <v>25.834</v>
      </c>
      <c r="L8" s="74">
        <v>25.763999999999999</v>
      </c>
      <c r="M8" s="73">
        <v>25.664999999999999</v>
      </c>
      <c r="N8" s="74">
        <v>24.646000000000001</v>
      </c>
      <c r="O8" s="73">
        <v>43.621000000000002</v>
      </c>
      <c r="P8" s="74">
        <v>43.64</v>
      </c>
      <c r="Q8" s="73">
        <v>41.046999999999997</v>
      </c>
      <c r="R8" s="61">
        <v>40.945999999999998</v>
      </c>
      <c r="U8" s="23" t="s">
        <v>32</v>
      </c>
      <c r="V8" s="88">
        <f>AVERAGE(C8:D8)</f>
        <v>27.872999999999998</v>
      </c>
      <c r="W8" s="84">
        <f t="shared" ref="W8:W12" si="3">AVERAGE(D8:E8)</f>
        <v>27.872999999999998</v>
      </c>
      <c r="X8" s="84">
        <f>AVERAGE(G8:H8)</f>
        <v>27.115000000000002</v>
      </c>
      <c r="Y8" s="84">
        <f>AVERAGE(I8:J8)</f>
        <v>27.290999999999997</v>
      </c>
      <c r="Z8" s="84">
        <f>AVERAGE(K8:L8)</f>
        <v>25.798999999999999</v>
      </c>
      <c r="AA8" s="84">
        <f>AVERAGE(M8:N8)</f>
        <v>25.1555</v>
      </c>
      <c r="AB8" s="84">
        <f>AVERAGE(O8:P8)</f>
        <v>43.630499999999998</v>
      </c>
      <c r="AC8" s="89">
        <f>AVERAGE(Q8:R8)</f>
        <v>40.996499999999997</v>
      </c>
      <c r="AE8" s="88">
        <f>STDEV(C8:D8)</f>
        <v>0.16546298679765087</v>
      </c>
      <c r="AF8" s="84"/>
      <c r="AG8" s="84">
        <f>STDEV(G8:H8)</f>
        <v>5.5154328932550289E-2</v>
      </c>
      <c r="AH8" s="84">
        <f>STDEV(I8:J8)</f>
        <v>0.19940411229460642</v>
      </c>
      <c r="AI8" s="84">
        <f>STDEV(K8:L8)</f>
        <v>4.9497474683058526E-2</v>
      </c>
      <c r="AJ8" s="84">
        <f>STDEV(M8:N8)</f>
        <v>0.72054181002909068</v>
      </c>
      <c r="AK8" s="84">
        <f>STDEV(O8:P8)</f>
        <v>1.3435028842543236E-2</v>
      </c>
      <c r="AL8" s="89">
        <f>STDEV(Q8:R8)</f>
        <v>7.1417784899840658E-2</v>
      </c>
      <c r="AM8" s="19"/>
      <c r="AN8" s="96">
        <v>6</v>
      </c>
      <c r="AO8" s="88">
        <f>V19</f>
        <v>0.52900000000000003</v>
      </c>
      <c r="AP8" s="84">
        <f t="shared" ref="AP8:AV8" si="4">W19</f>
        <v>0.52900000000000003</v>
      </c>
      <c r="AQ8" s="84">
        <f t="shared" si="4"/>
        <v>0.47949999999999998</v>
      </c>
      <c r="AR8" s="84">
        <f t="shared" si="4"/>
        <v>0</v>
      </c>
      <c r="AS8" s="84">
        <f t="shared" si="4"/>
        <v>0.46250000000000002</v>
      </c>
      <c r="AT8" s="84">
        <f t="shared" si="4"/>
        <v>0.46949999999999997</v>
      </c>
      <c r="AU8" s="84">
        <f t="shared" si="4"/>
        <v>0.65400000000000003</v>
      </c>
      <c r="AV8" s="89">
        <f t="shared" si="4"/>
        <v>0.42549999999999999</v>
      </c>
      <c r="AX8" s="88">
        <f>AE19</f>
        <v>1.4142135623730963E-3</v>
      </c>
      <c r="AY8" s="84">
        <f t="shared" ref="AY8:BC8" si="5">AF19</f>
        <v>0</v>
      </c>
      <c r="AZ8" s="84">
        <f t="shared" si="5"/>
        <v>4.9497474683058368E-3</v>
      </c>
      <c r="BA8" s="84">
        <f t="shared" si="5"/>
        <v>8.4852813742385784E-3</v>
      </c>
      <c r="BB8" s="84">
        <f t="shared" si="5"/>
        <v>3.5355339059327407E-3</v>
      </c>
      <c r="BC8" s="84">
        <f t="shared" si="5"/>
        <v>7.0710678118654816E-4</v>
      </c>
      <c r="BD8" s="84">
        <f>AK19</f>
        <v>0.27011479041326092</v>
      </c>
      <c r="BE8" s="89">
        <f t="shared" ref="BE8" si="6">AL19</f>
        <v>1.0606601717798222E-2</v>
      </c>
      <c r="BF8" s="2"/>
    </row>
    <row r="9" spans="2:58" ht="15.75" x14ac:dyDescent="0.25">
      <c r="B9" s="23" t="s">
        <v>62</v>
      </c>
      <c r="C9" s="60"/>
      <c r="D9" s="25"/>
      <c r="E9" s="60"/>
      <c r="F9" s="25"/>
      <c r="G9" s="73"/>
      <c r="H9" s="74"/>
      <c r="I9" s="73"/>
      <c r="J9" s="74"/>
      <c r="K9" s="73"/>
      <c r="L9" s="74"/>
      <c r="M9" s="73"/>
      <c r="N9" s="74"/>
      <c r="O9" s="73"/>
      <c r="P9" s="74"/>
      <c r="Q9" s="73"/>
      <c r="R9" s="61"/>
      <c r="U9" s="23" t="s">
        <v>62</v>
      </c>
      <c r="V9" s="88"/>
      <c r="W9" s="84" t="e">
        <f t="shared" si="3"/>
        <v>#DIV/0!</v>
      </c>
      <c r="X9" s="84"/>
      <c r="Y9" s="84"/>
      <c r="Z9" s="84"/>
      <c r="AA9" s="84"/>
      <c r="AB9" s="84"/>
      <c r="AC9" s="89"/>
      <c r="AE9" s="88"/>
      <c r="AF9" s="84"/>
      <c r="AG9" s="84"/>
      <c r="AH9" s="84"/>
      <c r="AI9" s="84"/>
      <c r="AJ9" s="84"/>
      <c r="AK9" s="84"/>
      <c r="AL9" s="89"/>
      <c r="AM9" s="19"/>
      <c r="AN9" s="96">
        <v>19</v>
      </c>
      <c r="AO9" s="88">
        <f>V30</f>
        <v>0.44800000000000001</v>
      </c>
      <c r="AP9" s="84">
        <f t="shared" ref="AP9:AV9" si="7">W30</f>
        <v>0.44800000000000001</v>
      </c>
      <c r="AQ9" s="84">
        <f t="shared" si="7"/>
        <v>0.46399999999999997</v>
      </c>
      <c r="AR9" s="84">
        <f t="shared" si="7"/>
        <v>0</v>
      </c>
      <c r="AS9" s="84">
        <f t="shared" si="7"/>
        <v>0.4325</v>
      </c>
      <c r="AT9" s="84">
        <f t="shared" si="7"/>
        <v>0.433</v>
      </c>
      <c r="AU9" s="84">
        <f t="shared" si="7"/>
        <v>0.44900000000000001</v>
      </c>
      <c r="AV9" s="89">
        <f t="shared" si="7"/>
        <v>0.42099999999999999</v>
      </c>
      <c r="AX9" s="88">
        <f>AE30</f>
        <v>2.8284271247461927E-3</v>
      </c>
      <c r="AY9" s="84">
        <f t="shared" ref="AY9:BC9" si="8">AF30</f>
        <v>0</v>
      </c>
      <c r="AZ9" s="84">
        <f t="shared" si="8"/>
        <v>2.6870057685088791E-2</v>
      </c>
      <c r="BA9" s="84">
        <f t="shared" si="8"/>
        <v>7.7781745930520299E-3</v>
      </c>
      <c r="BB9" s="84">
        <f t="shared" si="8"/>
        <v>1.2020815280171319E-2</v>
      </c>
      <c r="BC9" s="84">
        <f t="shared" si="8"/>
        <v>1.4142135623730963E-2</v>
      </c>
      <c r="BD9" s="84">
        <f>AK30</f>
        <v>7.0710678118654814E-3</v>
      </c>
      <c r="BE9" s="89">
        <f t="shared" ref="BE9" si="9">AL30</f>
        <v>4.2426406871192892E-3</v>
      </c>
      <c r="BF9" s="2"/>
    </row>
    <row r="10" spans="2:58" ht="15.75" x14ac:dyDescent="0.25">
      <c r="B10" s="23" t="s">
        <v>33</v>
      </c>
      <c r="C10" s="60">
        <v>2.4889999999999999</v>
      </c>
      <c r="D10" s="25">
        <v>2.1219999999999999</v>
      </c>
      <c r="E10" s="60">
        <v>2.4889999999999999</v>
      </c>
      <c r="F10" s="25">
        <v>2.1219999999999999</v>
      </c>
      <c r="G10" s="73">
        <v>0.72</v>
      </c>
      <c r="H10" s="74">
        <v>0.77300000000000002</v>
      </c>
      <c r="I10" s="73">
        <v>0.34300000000000003</v>
      </c>
      <c r="J10" s="74">
        <v>0</v>
      </c>
      <c r="K10" s="73">
        <v>0.71299999999999997</v>
      </c>
      <c r="L10" s="74">
        <v>0.98399999999999999</v>
      </c>
      <c r="M10" s="98">
        <v>0.71299999999999997</v>
      </c>
      <c r="N10" s="99">
        <v>0.98399999999999999</v>
      </c>
      <c r="O10" s="73">
        <v>0</v>
      </c>
      <c r="P10" s="74">
        <v>0</v>
      </c>
      <c r="Q10" s="73">
        <v>0</v>
      </c>
      <c r="R10" s="61">
        <v>0</v>
      </c>
      <c r="U10" s="23" t="s">
        <v>33</v>
      </c>
      <c r="V10" s="88">
        <f>AVERAGE(C10:D10)</f>
        <v>2.3054999999999999</v>
      </c>
      <c r="W10" s="84">
        <f t="shared" si="3"/>
        <v>2.3054999999999999</v>
      </c>
      <c r="X10" s="84">
        <f>AVERAGE(G10:H10)</f>
        <v>0.74649999999999994</v>
      </c>
      <c r="Y10" s="84">
        <f>AVERAGE(I10:J10)</f>
        <v>0.17150000000000001</v>
      </c>
      <c r="Z10" s="84">
        <f>AVERAGE(K10:L10)</f>
        <v>0.84850000000000003</v>
      </c>
      <c r="AA10" s="84">
        <f>AVERAGE(M10:N10)</f>
        <v>0.84850000000000003</v>
      </c>
      <c r="AB10" s="84">
        <f>AVERAGE(O10:P10)</f>
        <v>0</v>
      </c>
      <c r="AC10" s="89">
        <f>AVERAGE(Q10:R10)</f>
        <v>0</v>
      </c>
      <c r="AE10" s="88">
        <f>STDEV(C10:D10)</f>
        <v>0.25950818869546294</v>
      </c>
      <c r="AF10" s="84"/>
      <c r="AG10" s="84">
        <f>STDEV(G10:H10)</f>
        <v>3.7476659402887053E-2</v>
      </c>
      <c r="AH10" s="84">
        <f>STDEV(I10:J10)</f>
        <v>0.24253762594698583</v>
      </c>
      <c r="AI10" s="84">
        <f>STDEV(K10:L10)</f>
        <v>0.19162593770155362</v>
      </c>
      <c r="AJ10" s="84">
        <f>STDEV(M10:N10)</f>
        <v>0.19162593770155362</v>
      </c>
      <c r="AK10" s="84">
        <f>STDEV(O10:P10)</f>
        <v>0</v>
      </c>
      <c r="AL10" s="89">
        <f>STDEV(Q10:R10)</f>
        <v>0</v>
      </c>
      <c r="AM10" s="19"/>
      <c r="AN10" s="96">
        <v>26</v>
      </c>
      <c r="AO10" s="88">
        <f>V42</f>
        <v>0.45</v>
      </c>
      <c r="AP10" s="84">
        <f t="shared" ref="AP10:AV10" si="10">W42</f>
        <v>0.48749999999999999</v>
      </c>
      <c r="AQ10" s="84">
        <f t="shared" si="10"/>
        <v>0.46</v>
      </c>
      <c r="AR10" s="84">
        <f t="shared" si="10"/>
        <v>0.48350000000000004</v>
      </c>
      <c r="AS10" s="84">
        <f t="shared" si="10"/>
        <v>0.46199999999999997</v>
      </c>
      <c r="AT10" s="84">
        <f t="shared" si="10"/>
        <v>0.47749999999999998</v>
      </c>
      <c r="AU10" s="84">
        <f t="shared" si="10"/>
        <v>0.45050000000000001</v>
      </c>
      <c r="AV10" s="89">
        <f t="shared" si="10"/>
        <v>0.46899999999999997</v>
      </c>
      <c r="AX10" s="88">
        <f>AE42</f>
        <v>2.8284271247461927E-3</v>
      </c>
      <c r="AY10" s="84">
        <f t="shared" ref="AY10:BC10" si="11">AF42</f>
        <v>2.1920310216782993E-2</v>
      </c>
      <c r="AZ10" s="84">
        <f t="shared" si="11"/>
        <v>2.8284271247461927E-3</v>
      </c>
      <c r="BA10" s="84">
        <f t="shared" si="11"/>
        <v>3.040559159102153E-2</v>
      </c>
      <c r="BB10" s="84">
        <f t="shared" si="11"/>
        <v>1.1313708498984731E-2</v>
      </c>
      <c r="BC10" s="84">
        <f t="shared" si="11"/>
        <v>2.1213203435596446E-3</v>
      </c>
      <c r="BD10" s="84">
        <f>AK42</f>
        <v>2.1920310216782993E-2</v>
      </c>
      <c r="BE10" s="89">
        <f t="shared" ref="BE10" si="12">AL42</f>
        <v>9.8994949366116355E-3</v>
      </c>
      <c r="BF10" s="2"/>
    </row>
    <row r="11" spans="2:58" ht="15.75" x14ac:dyDescent="0.25">
      <c r="B11" s="23" t="s">
        <v>34</v>
      </c>
      <c r="C11" s="60">
        <v>0.91200000000000003</v>
      </c>
      <c r="D11" s="25">
        <v>0.61499999999999999</v>
      </c>
      <c r="E11" s="60">
        <v>0.91200000000000003</v>
      </c>
      <c r="F11" s="25">
        <v>0.61499999999999999</v>
      </c>
      <c r="G11" s="73">
        <v>1.08</v>
      </c>
      <c r="H11" s="74">
        <v>0.71799999999999997</v>
      </c>
      <c r="I11" s="73">
        <v>0.61599999999999999</v>
      </c>
      <c r="J11" s="74">
        <v>0</v>
      </c>
      <c r="K11" s="73">
        <v>0</v>
      </c>
      <c r="L11" s="74">
        <v>0</v>
      </c>
      <c r="M11" s="73">
        <v>0.46400000000000002</v>
      </c>
      <c r="N11" s="74">
        <v>0.56000000000000005</v>
      </c>
      <c r="O11" s="73">
        <v>0</v>
      </c>
      <c r="P11" s="74">
        <v>0.34799999999999998</v>
      </c>
      <c r="Q11" s="73">
        <v>0.61899999999999999</v>
      </c>
      <c r="R11" s="61">
        <v>0.75900000000000001</v>
      </c>
      <c r="U11" s="23" t="s">
        <v>34</v>
      </c>
      <c r="V11" s="88">
        <f>AVERAGE(C11:D11)</f>
        <v>0.76350000000000007</v>
      </c>
      <c r="W11" s="84">
        <f t="shared" si="3"/>
        <v>0.76350000000000007</v>
      </c>
      <c r="X11" s="84">
        <f>AVERAGE(G11:H11)</f>
        <v>0.89900000000000002</v>
      </c>
      <c r="Y11" s="84">
        <f>AVERAGE(I11:J11)</f>
        <v>0.308</v>
      </c>
      <c r="Z11" s="84">
        <f>AVERAGE(K11:L11)</f>
        <v>0</v>
      </c>
      <c r="AA11" s="84">
        <f>AVERAGE(M11:N11)</f>
        <v>0.51200000000000001</v>
      </c>
      <c r="AB11" s="84">
        <f>AVERAGE(O11:P11)</f>
        <v>0.17399999999999999</v>
      </c>
      <c r="AC11" s="89">
        <f>AVERAGE(Q11:R11)</f>
        <v>0.68900000000000006</v>
      </c>
      <c r="AE11" s="88">
        <f>STDEV(C11:D11)</f>
        <v>0.21001071401240406</v>
      </c>
      <c r="AF11" s="84"/>
      <c r="AG11" s="84">
        <f>STDEV(G11:H11)</f>
        <v>0.25597265478952991</v>
      </c>
      <c r="AH11" s="84">
        <f>STDEV(I11:J11)</f>
        <v>0.43557777721091329</v>
      </c>
      <c r="AI11" s="84">
        <f>STDEV(K11:L11)</f>
        <v>0</v>
      </c>
      <c r="AJ11" s="84">
        <f>STDEV(M11:N11)</f>
        <v>6.7882250993908586E-2</v>
      </c>
      <c r="AK11" s="84">
        <f>STDEV(O11:P11)</f>
        <v>0.24607315985291853</v>
      </c>
      <c r="AL11" s="89">
        <f>STDEV(Q11:R11)</f>
        <v>9.8994949366116247E-2</v>
      </c>
      <c r="AM11" s="19"/>
      <c r="AN11" s="96">
        <v>34</v>
      </c>
      <c r="AO11" s="88">
        <f>V55</f>
        <v>0.45499999999999996</v>
      </c>
      <c r="AP11" s="84">
        <f t="shared" ref="AP11:AV11" si="13">W55</f>
        <v>0.44900000000000001</v>
      </c>
      <c r="AQ11" s="84">
        <f t="shared" si="13"/>
        <v>0.45</v>
      </c>
      <c r="AR11" s="84">
        <f t="shared" si="13"/>
        <v>0.44350000000000001</v>
      </c>
      <c r="AS11" s="84">
        <f t="shared" si="13"/>
        <v>0.45</v>
      </c>
      <c r="AT11" s="84">
        <f t="shared" si="13"/>
        <v>0.45250000000000001</v>
      </c>
      <c r="AU11" s="84">
        <f t="shared" si="13"/>
        <v>0.4395</v>
      </c>
      <c r="AV11" s="89">
        <f t="shared" si="13"/>
        <v>0.42549999999999999</v>
      </c>
      <c r="AX11" s="88">
        <f>AE55</f>
        <v>3.3941125496954272E-2</v>
      </c>
      <c r="AY11" s="84">
        <f t="shared" ref="AY11:BC11" si="14">AF55</f>
        <v>9.8994949366116736E-3</v>
      </c>
      <c r="AZ11" s="84">
        <f t="shared" si="14"/>
        <v>7.0710678118654814E-3</v>
      </c>
      <c r="BA11" s="84">
        <f t="shared" si="14"/>
        <v>1.0606601717798222E-2</v>
      </c>
      <c r="BB11" s="84">
        <f t="shared" si="14"/>
        <v>9.8994949366116736E-3</v>
      </c>
      <c r="BC11" s="84">
        <f t="shared" si="14"/>
        <v>2.1213203435596446E-3</v>
      </c>
      <c r="BD11" s="84">
        <f>AK55</f>
        <v>4.9497474683058368E-3</v>
      </c>
      <c r="BE11" s="89">
        <f t="shared" ref="BE11" si="15">AL55</f>
        <v>6.3639610306789329E-3</v>
      </c>
      <c r="BF11" s="2"/>
    </row>
    <row r="12" spans="2:58" ht="16.5" thickBot="1" x14ac:dyDescent="0.3">
      <c r="B12" s="21" t="s">
        <v>35</v>
      </c>
      <c r="C12" s="62">
        <v>58.244999999999997</v>
      </c>
      <c r="D12" s="63">
        <v>58.363</v>
      </c>
      <c r="E12" s="62">
        <v>58.244999999999997</v>
      </c>
      <c r="F12" s="63">
        <v>58.363</v>
      </c>
      <c r="G12" s="75">
        <v>57.225000000000001</v>
      </c>
      <c r="H12" s="76">
        <v>57.009</v>
      </c>
      <c r="I12" s="75">
        <v>57.466000000000001</v>
      </c>
      <c r="J12" s="76">
        <v>57.014000000000003</v>
      </c>
      <c r="K12" s="75">
        <v>56.649000000000001</v>
      </c>
      <c r="L12" s="76">
        <v>56.326999999999998</v>
      </c>
      <c r="M12" s="75">
        <v>54.29</v>
      </c>
      <c r="N12" s="76">
        <v>54.360999999999997</v>
      </c>
      <c r="O12" s="75">
        <v>58.04</v>
      </c>
      <c r="P12" s="76">
        <v>58.369</v>
      </c>
      <c r="Q12" s="75">
        <v>57.328000000000003</v>
      </c>
      <c r="R12" s="64">
        <v>57.353000000000002</v>
      </c>
      <c r="U12" s="21" t="s">
        <v>35</v>
      </c>
      <c r="V12" s="90">
        <f>AVERAGE(C12:D12)</f>
        <v>58.304000000000002</v>
      </c>
      <c r="W12" s="91">
        <f t="shared" si="3"/>
        <v>58.304000000000002</v>
      </c>
      <c r="X12" s="91">
        <f>AVERAGE(G12:H12)</f>
        <v>57.117000000000004</v>
      </c>
      <c r="Y12" s="91">
        <f>AVERAGE(I12:J12)</f>
        <v>57.24</v>
      </c>
      <c r="Z12" s="91">
        <f>AVERAGE(K12:L12)</f>
        <v>56.488</v>
      </c>
      <c r="AA12" s="91">
        <f>AVERAGE(M12:N12)</f>
        <v>54.325499999999998</v>
      </c>
      <c r="AB12" s="91">
        <f>AVERAGE(O12:P12)</f>
        <v>58.204499999999996</v>
      </c>
      <c r="AC12" s="92">
        <f>AVERAGE(Q12:R12)</f>
        <v>57.340500000000006</v>
      </c>
      <c r="AE12" s="90">
        <f>STDEV(C12:D12)</f>
        <v>8.3438600180014089E-2</v>
      </c>
      <c r="AF12" s="91"/>
      <c r="AG12" s="91">
        <f>STDEV(G12:H12)</f>
        <v>0.15273506473629503</v>
      </c>
      <c r="AH12" s="91">
        <f>STDEV(I12:J12)</f>
        <v>0.31961226509631818</v>
      </c>
      <c r="AI12" s="91">
        <f>STDEV(K12:L12)</f>
        <v>0.22768838354207024</v>
      </c>
      <c r="AJ12" s="91">
        <f>STDEV(M12:N12)</f>
        <v>5.0204581464243427E-2</v>
      </c>
      <c r="AK12" s="91">
        <f>STDEV(O12:P12)</f>
        <v>0.23263813101037456</v>
      </c>
      <c r="AL12" s="92">
        <f>STDEV(Q12:R12)</f>
        <v>1.7677669529662685E-2</v>
      </c>
      <c r="AM12" s="19"/>
      <c r="AN12" s="97"/>
      <c r="AO12" s="90"/>
      <c r="AP12" s="91"/>
      <c r="AQ12" s="91"/>
      <c r="AR12" s="91"/>
      <c r="AS12" s="91"/>
      <c r="AT12" s="91"/>
      <c r="AU12" s="91"/>
      <c r="AV12" s="92"/>
      <c r="AX12" s="90"/>
      <c r="AY12" s="91"/>
      <c r="AZ12" s="91"/>
      <c r="BA12" s="91"/>
      <c r="BB12" s="91"/>
      <c r="BC12" s="91"/>
      <c r="BD12" s="91"/>
      <c r="BE12" s="92"/>
    </row>
    <row r="13" spans="2:58" x14ac:dyDescent="0.25">
      <c r="B13" s="20"/>
      <c r="C13" s="25"/>
      <c r="D13" s="25"/>
      <c r="E13" s="25"/>
      <c r="F13" s="2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2:58" ht="15.75" thickBot="1" x14ac:dyDescent="0.3">
      <c r="B14" s="20"/>
      <c r="C14" s="25"/>
      <c r="D14" s="25"/>
      <c r="E14" s="25"/>
      <c r="F14" s="2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2:58" ht="21.75" thickBot="1" x14ac:dyDescent="0.4">
      <c r="B15" s="20"/>
      <c r="C15" s="181" t="s">
        <v>52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3"/>
      <c r="V15" s="181" t="s">
        <v>52</v>
      </c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3"/>
      <c r="AM15" s="93"/>
    </row>
    <row r="16" spans="2:58" ht="30.75" thickBot="1" x14ac:dyDescent="0.4">
      <c r="B16" s="20"/>
      <c r="C16" s="28" t="s">
        <v>37</v>
      </c>
      <c r="D16" s="30" t="s">
        <v>38</v>
      </c>
      <c r="E16" s="28" t="s">
        <v>76</v>
      </c>
      <c r="F16" s="30" t="s">
        <v>64</v>
      </c>
      <c r="G16" s="28" t="s">
        <v>39</v>
      </c>
      <c r="H16" s="30" t="s">
        <v>40</v>
      </c>
      <c r="I16" s="28" t="s">
        <v>41</v>
      </c>
      <c r="J16" s="30" t="s">
        <v>42</v>
      </c>
      <c r="K16" s="28" t="s">
        <v>43</v>
      </c>
      <c r="L16" s="30" t="s">
        <v>44</v>
      </c>
      <c r="M16" s="28" t="s">
        <v>45</v>
      </c>
      <c r="N16" s="30" t="s">
        <v>46</v>
      </c>
      <c r="O16" s="28" t="s">
        <v>49</v>
      </c>
      <c r="P16" s="30" t="s">
        <v>50</v>
      </c>
      <c r="Q16" s="29" t="s">
        <v>47</v>
      </c>
      <c r="R16" s="30" t="s">
        <v>48</v>
      </c>
      <c r="V16" s="189" t="s">
        <v>80</v>
      </c>
      <c r="W16" s="190"/>
      <c r="X16" s="190"/>
      <c r="Y16" s="190"/>
      <c r="Z16" s="190"/>
      <c r="AA16" s="190"/>
      <c r="AB16" s="190"/>
      <c r="AC16" s="191"/>
      <c r="AE16" s="189" t="s">
        <v>81</v>
      </c>
      <c r="AF16" s="190"/>
      <c r="AG16" s="190"/>
      <c r="AH16" s="190"/>
      <c r="AI16" s="190"/>
      <c r="AJ16" s="190"/>
      <c r="AK16" s="190"/>
      <c r="AL16" s="191"/>
      <c r="AM16" s="94"/>
      <c r="AO16" s="181" t="s">
        <v>84</v>
      </c>
      <c r="AP16" s="182"/>
      <c r="AQ16" s="182"/>
      <c r="AR16" s="182"/>
      <c r="AS16" s="182"/>
      <c r="AT16" s="182"/>
      <c r="AU16" s="182"/>
      <c r="AV16" s="183"/>
      <c r="AX16" s="181" t="s">
        <v>85</v>
      </c>
      <c r="AY16" s="182"/>
      <c r="AZ16" s="182"/>
      <c r="BA16" s="182"/>
      <c r="BB16" s="182"/>
      <c r="BC16" s="182"/>
      <c r="BD16" s="182"/>
      <c r="BE16" s="183"/>
    </row>
    <row r="17" spans="2:57" ht="30" x14ac:dyDescent="0.25">
      <c r="C17" s="184" t="s">
        <v>57</v>
      </c>
      <c r="D17" s="185"/>
      <c r="E17" s="184" t="s">
        <v>57</v>
      </c>
      <c r="F17" s="185"/>
      <c r="G17" s="184" t="s">
        <v>57</v>
      </c>
      <c r="H17" s="185"/>
      <c r="I17" s="184" t="s">
        <v>57</v>
      </c>
      <c r="J17" s="185"/>
      <c r="K17" s="184" t="s">
        <v>57</v>
      </c>
      <c r="L17" s="185"/>
      <c r="M17" s="184" t="s">
        <v>57</v>
      </c>
      <c r="N17" s="185"/>
      <c r="O17" s="184" t="s">
        <v>57</v>
      </c>
      <c r="P17" s="185"/>
      <c r="Q17" s="184" t="s">
        <v>57</v>
      </c>
      <c r="R17" s="185"/>
      <c r="V17" s="78" t="s">
        <v>51</v>
      </c>
      <c r="W17" s="79" t="s">
        <v>77</v>
      </c>
      <c r="X17" s="79" t="s">
        <v>18</v>
      </c>
      <c r="Y17" s="79" t="s">
        <v>19</v>
      </c>
      <c r="Z17" s="79" t="s">
        <v>79</v>
      </c>
      <c r="AA17" s="79" t="s">
        <v>21</v>
      </c>
      <c r="AB17" s="79" t="s">
        <v>22</v>
      </c>
      <c r="AC17" s="80" t="s">
        <v>66</v>
      </c>
      <c r="AE17" s="78" t="s">
        <v>51</v>
      </c>
      <c r="AF17" s="79" t="s">
        <v>77</v>
      </c>
      <c r="AG17" s="79" t="s">
        <v>18</v>
      </c>
      <c r="AH17" s="79" t="s">
        <v>19</v>
      </c>
      <c r="AI17" s="79" t="s">
        <v>79</v>
      </c>
      <c r="AJ17" s="79" t="s">
        <v>21</v>
      </c>
      <c r="AK17" s="79" t="s">
        <v>22</v>
      </c>
      <c r="AL17" s="80" t="s">
        <v>66</v>
      </c>
      <c r="AM17" s="24"/>
      <c r="AO17" s="78" t="s">
        <v>51</v>
      </c>
      <c r="AP17" s="79" t="s">
        <v>77</v>
      </c>
      <c r="AQ17" s="79" t="s">
        <v>18</v>
      </c>
      <c r="AR17" s="79" t="s">
        <v>19</v>
      </c>
      <c r="AS17" s="79" t="s">
        <v>79</v>
      </c>
      <c r="AT17" s="79" t="s">
        <v>21</v>
      </c>
      <c r="AU17" s="79" t="s">
        <v>22</v>
      </c>
      <c r="AV17" s="80" t="s">
        <v>66</v>
      </c>
      <c r="AX17" s="78" t="s">
        <v>51</v>
      </c>
      <c r="AY17" s="79" t="s">
        <v>77</v>
      </c>
      <c r="AZ17" s="79" t="s">
        <v>18</v>
      </c>
      <c r="BA17" s="79" t="s">
        <v>19</v>
      </c>
      <c r="BB17" s="79" t="s">
        <v>79</v>
      </c>
      <c r="BC17" s="79" t="s">
        <v>21</v>
      </c>
      <c r="BD17" s="79" t="s">
        <v>22</v>
      </c>
      <c r="BE17" s="80" t="s">
        <v>66</v>
      </c>
    </row>
    <row r="18" spans="2:57" ht="15.75" thickBot="1" x14ac:dyDescent="0.3">
      <c r="B18" s="20"/>
      <c r="C18" s="31" t="s">
        <v>58</v>
      </c>
      <c r="D18" s="32" t="s">
        <v>59</v>
      </c>
      <c r="E18" s="31" t="s">
        <v>58</v>
      </c>
      <c r="F18" s="32" t="s">
        <v>59</v>
      </c>
      <c r="G18" s="31" t="s">
        <v>58</v>
      </c>
      <c r="H18" s="32" t="s">
        <v>59</v>
      </c>
      <c r="I18" s="31" t="s">
        <v>58</v>
      </c>
      <c r="J18" s="32" t="s">
        <v>59</v>
      </c>
      <c r="K18" s="31" t="s">
        <v>58</v>
      </c>
      <c r="L18" s="32" t="s">
        <v>59</v>
      </c>
      <c r="M18" s="31" t="s">
        <v>58</v>
      </c>
      <c r="N18" s="32" t="s">
        <v>59</v>
      </c>
      <c r="O18" s="31" t="s">
        <v>58</v>
      </c>
      <c r="P18" s="32" t="s">
        <v>59</v>
      </c>
      <c r="Q18" s="31" t="s">
        <v>58</v>
      </c>
      <c r="R18" s="32" t="s">
        <v>59</v>
      </c>
      <c r="V18" s="31" t="s">
        <v>57</v>
      </c>
      <c r="W18" s="81" t="s">
        <v>57</v>
      </c>
      <c r="X18" s="81" t="s">
        <v>57</v>
      </c>
      <c r="Y18" s="81" t="s">
        <v>57</v>
      </c>
      <c r="Z18" s="81" t="s">
        <v>57</v>
      </c>
      <c r="AA18" s="81" t="s">
        <v>57</v>
      </c>
      <c r="AB18" s="81" t="s">
        <v>57</v>
      </c>
      <c r="AC18" s="32" t="s">
        <v>57</v>
      </c>
      <c r="AE18" s="82" t="s">
        <v>57</v>
      </c>
      <c r="AF18" s="81" t="s">
        <v>57</v>
      </c>
      <c r="AG18" s="77" t="s">
        <v>57</v>
      </c>
      <c r="AH18" s="77" t="s">
        <v>57</v>
      </c>
      <c r="AI18" s="77" t="s">
        <v>57</v>
      </c>
      <c r="AJ18" s="77" t="s">
        <v>57</v>
      </c>
      <c r="AK18" s="77" t="s">
        <v>57</v>
      </c>
      <c r="AL18" s="83" t="s">
        <v>57</v>
      </c>
      <c r="AM18" s="77"/>
      <c r="AO18" s="82" t="s">
        <v>57</v>
      </c>
      <c r="AP18" s="81" t="s">
        <v>57</v>
      </c>
      <c r="AQ18" s="77" t="s">
        <v>57</v>
      </c>
      <c r="AR18" s="77" t="s">
        <v>57</v>
      </c>
      <c r="AS18" s="77" t="s">
        <v>57</v>
      </c>
      <c r="AT18" s="77" t="s">
        <v>57</v>
      </c>
      <c r="AU18" s="77" t="s">
        <v>57</v>
      </c>
      <c r="AV18" s="83" t="s">
        <v>57</v>
      </c>
      <c r="AX18" s="82" t="s">
        <v>57</v>
      </c>
      <c r="AY18" s="81" t="s">
        <v>57</v>
      </c>
      <c r="AZ18" s="77" t="s">
        <v>57</v>
      </c>
      <c r="BA18" s="77" t="s">
        <v>57</v>
      </c>
      <c r="BB18" s="77" t="s">
        <v>57</v>
      </c>
      <c r="BC18" s="77" t="s">
        <v>57</v>
      </c>
      <c r="BD18" s="77" t="s">
        <v>57</v>
      </c>
      <c r="BE18" s="83" t="s">
        <v>57</v>
      </c>
    </row>
    <row r="19" spans="2:57" ht="15.75" x14ac:dyDescent="0.25">
      <c r="B19" s="22" t="s">
        <v>31</v>
      </c>
      <c r="C19" s="57">
        <v>0.52800000000000002</v>
      </c>
      <c r="D19" s="58">
        <v>0.53</v>
      </c>
      <c r="E19" s="57">
        <v>0.52800000000000002</v>
      </c>
      <c r="F19" s="58">
        <v>0.53</v>
      </c>
      <c r="G19" s="65">
        <v>0.47599999999999998</v>
      </c>
      <c r="H19" s="68">
        <v>0.48299999999999998</v>
      </c>
      <c r="I19" s="71">
        <v>0.47399999999999998</v>
      </c>
      <c r="J19" s="72">
        <v>0.48599999999999999</v>
      </c>
      <c r="K19" s="71">
        <v>0.46</v>
      </c>
      <c r="L19" s="72">
        <v>0.46500000000000002</v>
      </c>
      <c r="M19" s="71">
        <v>0.47</v>
      </c>
      <c r="N19" s="72">
        <v>0.46899999999999997</v>
      </c>
      <c r="O19" s="71">
        <v>0.46300000000000002</v>
      </c>
      <c r="P19" s="72">
        <v>0.84499999999999997</v>
      </c>
      <c r="Q19" s="71">
        <v>0.433</v>
      </c>
      <c r="R19" s="59">
        <v>0.41799999999999998</v>
      </c>
      <c r="S19" s="15"/>
      <c r="T19" s="15"/>
      <c r="U19" s="22" t="s">
        <v>31</v>
      </c>
      <c r="V19" s="85">
        <f>AVERAGE(C19:D19)</f>
        <v>0.52900000000000003</v>
      </c>
      <c r="W19" s="86">
        <f>AVERAGE(D19:E19)</f>
        <v>0.52900000000000003</v>
      </c>
      <c r="X19" s="86">
        <f>AVERAGE(G19:H19)</f>
        <v>0.47949999999999998</v>
      </c>
      <c r="Y19" s="86">
        <v>0</v>
      </c>
      <c r="Z19" s="86">
        <f>AVERAGE(K19:L19)</f>
        <v>0.46250000000000002</v>
      </c>
      <c r="AA19" s="86">
        <f>AVERAGE(M19:N19)</f>
        <v>0.46949999999999997</v>
      </c>
      <c r="AB19" s="86">
        <f>AVERAGE(O19:P19)</f>
        <v>0.65400000000000003</v>
      </c>
      <c r="AC19" s="87">
        <f>AVERAGE(Q19:R19)</f>
        <v>0.42549999999999999</v>
      </c>
      <c r="AE19" s="85">
        <f>STDEV(C19:D19)</f>
        <v>1.4142135623730963E-3</v>
      </c>
      <c r="AF19" s="86"/>
      <c r="AG19" s="86">
        <f>STDEV(G19:H19)</f>
        <v>4.9497474683058368E-3</v>
      </c>
      <c r="AH19" s="86">
        <f>STDEV(I19:J19)</f>
        <v>8.4852813742385784E-3</v>
      </c>
      <c r="AI19" s="86">
        <f>STDEV(K19:L19)</f>
        <v>3.5355339059327407E-3</v>
      </c>
      <c r="AJ19" s="86">
        <f>STDEV(M19:N19)</f>
        <v>7.0710678118654816E-4</v>
      </c>
      <c r="AK19" s="86">
        <f>STDEV(O19:P19)</f>
        <v>0.27011479041326092</v>
      </c>
      <c r="AL19" s="87">
        <f>STDEV(Q19:R19)</f>
        <v>1.0606601717798222E-2</v>
      </c>
      <c r="AM19" s="19"/>
      <c r="AN19" s="95">
        <v>0</v>
      </c>
      <c r="AO19" s="85">
        <f>V10</f>
        <v>2.3054999999999999</v>
      </c>
      <c r="AP19" s="86">
        <f>W10</f>
        <v>2.3054999999999999</v>
      </c>
      <c r="AQ19" s="86">
        <f t="shared" ref="AQ19:AV19" si="16">X10</f>
        <v>0.74649999999999994</v>
      </c>
      <c r="AR19" s="86">
        <f t="shared" si="16"/>
        <v>0.17150000000000001</v>
      </c>
      <c r="AS19" s="86">
        <f t="shared" si="16"/>
        <v>0.84850000000000003</v>
      </c>
      <c r="AT19" s="86">
        <f t="shared" si="16"/>
        <v>0.84850000000000003</v>
      </c>
      <c r="AU19" s="86">
        <f>AB10</f>
        <v>0</v>
      </c>
      <c r="AV19" s="87">
        <f t="shared" si="16"/>
        <v>0</v>
      </c>
      <c r="AX19" s="85">
        <f>AE10</f>
        <v>0.25950818869546294</v>
      </c>
      <c r="AY19" s="86">
        <f t="shared" ref="AY19:BE19" si="17">AF10</f>
        <v>0</v>
      </c>
      <c r="AZ19" s="86">
        <f t="shared" si="17"/>
        <v>3.7476659402887053E-2</v>
      </c>
      <c r="BA19" s="86">
        <f t="shared" si="17"/>
        <v>0.24253762594698583</v>
      </c>
      <c r="BB19" s="86">
        <f t="shared" si="17"/>
        <v>0.19162593770155362</v>
      </c>
      <c r="BC19" s="86">
        <f t="shared" si="17"/>
        <v>0.19162593770155362</v>
      </c>
      <c r="BD19" s="86">
        <f t="shared" si="17"/>
        <v>0</v>
      </c>
      <c r="BE19" s="87">
        <f t="shared" si="17"/>
        <v>0</v>
      </c>
    </row>
    <row r="20" spans="2:57" ht="15.75" x14ac:dyDescent="0.25">
      <c r="B20" s="23" t="s">
        <v>32</v>
      </c>
      <c r="C20" s="60">
        <v>28.08</v>
      </c>
      <c r="D20" s="25">
        <v>28.073</v>
      </c>
      <c r="E20" s="60">
        <v>28.08</v>
      </c>
      <c r="F20" s="25">
        <v>28.073</v>
      </c>
      <c r="G20" s="66">
        <v>28.169</v>
      </c>
      <c r="H20" s="69">
        <v>28.141999999999999</v>
      </c>
      <c r="I20" s="73">
        <v>28.053999999999998</v>
      </c>
      <c r="J20" s="74">
        <v>28.094999999999999</v>
      </c>
      <c r="K20" s="73">
        <v>28.141999999999999</v>
      </c>
      <c r="L20" s="74">
        <v>28.07</v>
      </c>
      <c r="M20" s="73">
        <v>29.716999999999999</v>
      </c>
      <c r="N20" s="74">
        <v>28.288</v>
      </c>
      <c r="O20" s="73">
        <v>29.363</v>
      </c>
      <c r="P20" s="74">
        <v>29.193999999999999</v>
      </c>
      <c r="Q20" s="73">
        <v>30.39</v>
      </c>
      <c r="R20" s="61">
        <v>29.338999999999999</v>
      </c>
      <c r="S20" s="15"/>
      <c r="T20" s="15"/>
      <c r="U20" s="23" t="s">
        <v>32</v>
      </c>
      <c r="V20" s="88">
        <f>AVERAGE(C20:D20)</f>
        <v>28.076499999999999</v>
      </c>
      <c r="W20" s="84">
        <f t="shared" ref="W20:W24" si="18">AVERAGE(D20:E20)</f>
        <v>28.076499999999999</v>
      </c>
      <c r="X20" s="84">
        <f>AVERAGE(G20:H20)</f>
        <v>28.1555</v>
      </c>
      <c r="Y20" s="84">
        <f>AVERAGE(I20:J20)</f>
        <v>28.0745</v>
      </c>
      <c r="Z20" s="84">
        <f>AVERAGE(K20:L20)</f>
        <v>28.106000000000002</v>
      </c>
      <c r="AA20" s="84">
        <f>AVERAGE(M20:N20)</f>
        <v>29.002499999999998</v>
      </c>
      <c r="AB20" s="84">
        <f>AVERAGE(O20:P20)</f>
        <v>29.278500000000001</v>
      </c>
      <c r="AC20" s="89">
        <f>AVERAGE(Q20:R20)</f>
        <v>29.8645</v>
      </c>
      <c r="AE20" s="88">
        <f>STDEV(C20:D20)</f>
        <v>4.9497474683043458E-3</v>
      </c>
      <c r="AF20" s="84"/>
      <c r="AG20" s="84">
        <f>STDEV(G20:H20)</f>
        <v>1.9091883092037507E-2</v>
      </c>
      <c r="AH20" s="84">
        <f>STDEV(I20:J20)</f>
        <v>2.8991378028648707E-2</v>
      </c>
      <c r="AI20" s="84">
        <f>STDEV(K20:L20)</f>
        <v>5.0911688245430839E-2</v>
      </c>
      <c r="AJ20" s="84">
        <f>STDEV(M20:N20)</f>
        <v>1.0104555903155754</v>
      </c>
      <c r="AK20" s="84">
        <f>STDEV(O20:P20)</f>
        <v>0.11950104602052687</v>
      </c>
      <c r="AL20" s="89">
        <f>STDEV(Q20:R20)</f>
        <v>0.7431692270270629</v>
      </c>
      <c r="AM20" s="19"/>
      <c r="AN20" s="96">
        <v>6</v>
      </c>
      <c r="AO20" s="88">
        <f>V22</f>
        <v>0.188</v>
      </c>
      <c r="AP20" s="84">
        <f t="shared" ref="AP20:AV20" si="19">W22</f>
        <v>0.188</v>
      </c>
      <c r="AQ20" s="84">
        <f t="shared" si="19"/>
        <v>0.2195</v>
      </c>
      <c r="AR20" s="84">
        <f t="shared" si="19"/>
        <v>0.25800000000000001</v>
      </c>
      <c r="AS20" s="84">
        <f t="shared" si="19"/>
        <v>0.33850000000000002</v>
      </c>
      <c r="AT20" s="84">
        <f t="shared" si="19"/>
        <v>0.442</v>
      </c>
      <c r="AU20" s="84">
        <f t="shared" si="19"/>
        <v>46.450999999999993</v>
      </c>
      <c r="AV20" s="89">
        <f t="shared" si="19"/>
        <v>27.207000000000001</v>
      </c>
      <c r="AX20" s="88">
        <f>AE22</f>
        <v>0</v>
      </c>
      <c r="AY20" s="84">
        <f t="shared" ref="AY20:BE20" si="20">AF22</f>
        <v>0</v>
      </c>
      <c r="AZ20" s="84">
        <f t="shared" si="20"/>
        <v>5.0204581464244821E-2</v>
      </c>
      <c r="BA20" s="84">
        <f t="shared" si="20"/>
        <v>1.2727922061357866E-2</v>
      </c>
      <c r="BB20" s="84">
        <f t="shared" si="20"/>
        <v>2.4748737341529145E-2</v>
      </c>
      <c r="BC20" s="84">
        <f t="shared" si="20"/>
        <v>3.2526911934581217E-2</v>
      </c>
      <c r="BD20" s="84">
        <f t="shared" si="20"/>
        <v>3.2526911934580745E-2</v>
      </c>
      <c r="BE20" s="89">
        <f t="shared" si="20"/>
        <v>10.941770332080639</v>
      </c>
    </row>
    <row r="21" spans="2:57" ht="15.75" x14ac:dyDescent="0.25">
      <c r="B21" s="23" t="s">
        <v>62</v>
      </c>
      <c r="C21" s="60"/>
      <c r="D21" s="25"/>
      <c r="E21" s="60"/>
      <c r="F21" s="25"/>
      <c r="G21" s="66"/>
      <c r="H21" s="69"/>
      <c r="I21" s="73"/>
      <c r="J21" s="74"/>
      <c r="K21" s="73"/>
      <c r="L21" s="74"/>
      <c r="M21" s="73"/>
      <c r="N21" s="74"/>
      <c r="O21" s="73"/>
      <c r="P21" s="74"/>
      <c r="Q21" s="73"/>
      <c r="R21" s="61"/>
      <c r="S21" s="15"/>
      <c r="T21" s="15"/>
      <c r="U21" s="23" t="s">
        <v>62</v>
      </c>
      <c r="V21" s="88"/>
      <c r="W21" s="84" t="e">
        <f t="shared" si="18"/>
        <v>#DIV/0!</v>
      </c>
      <c r="X21" s="84"/>
      <c r="Y21" s="84"/>
      <c r="Z21" s="84"/>
      <c r="AA21" s="84"/>
      <c r="AB21" s="84"/>
      <c r="AC21" s="89"/>
      <c r="AE21" s="88"/>
      <c r="AF21" s="84"/>
      <c r="AG21" s="84"/>
      <c r="AH21" s="84"/>
      <c r="AI21" s="84"/>
      <c r="AJ21" s="84"/>
      <c r="AK21" s="84"/>
      <c r="AL21" s="89"/>
      <c r="AM21" s="19"/>
      <c r="AN21" s="96">
        <v>19</v>
      </c>
      <c r="AO21" s="88">
        <f>V33</f>
        <v>0</v>
      </c>
      <c r="AP21" s="84">
        <f t="shared" ref="AP21:AV21" si="21">W33</f>
        <v>0</v>
      </c>
      <c r="AQ21" s="84">
        <f t="shared" si="21"/>
        <v>0.1075</v>
      </c>
      <c r="AR21" s="84">
        <f t="shared" si="21"/>
        <v>9.0499999999999997E-2</v>
      </c>
      <c r="AS21" s="84">
        <f t="shared" si="21"/>
        <v>0.23049999999999998</v>
      </c>
      <c r="AT21" s="84">
        <f t="shared" si="21"/>
        <v>0.23200000000000001</v>
      </c>
      <c r="AU21" s="84">
        <f t="shared" si="21"/>
        <v>5.3985000000000003</v>
      </c>
      <c r="AV21" s="89">
        <f t="shared" si="21"/>
        <v>4.0474999999999994</v>
      </c>
      <c r="AX21" s="88">
        <f>AE33</f>
        <v>0</v>
      </c>
      <c r="AY21" s="84">
        <f t="shared" ref="AY21:BE21" si="22">AF33</f>
        <v>0</v>
      </c>
      <c r="AZ21" s="84">
        <f t="shared" si="22"/>
        <v>0.15202795795510771</v>
      </c>
      <c r="BA21" s="84">
        <f t="shared" si="22"/>
        <v>0.12798632739476509</v>
      </c>
      <c r="BB21" s="84">
        <f t="shared" si="22"/>
        <v>6.3639610306789138E-3</v>
      </c>
      <c r="BC21" s="84">
        <f t="shared" si="22"/>
        <v>0</v>
      </c>
      <c r="BD21" s="84">
        <f t="shared" si="22"/>
        <v>3.5355339059326622E-3</v>
      </c>
      <c r="BE21" s="89">
        <f t="shared" si="22"/>
        <v>1.6263455967291E-2</v>
      </c>
    </row>
    <row r="22" spans="2:57" ht="15.75" x14ac:dyDescent="0.25">
      <c r="B22" s="23" t="s">
        <v>33</v>
      </c>
      <c r="C22" s="60">
        <v>0.188</v>
      </c>
      <c r="D22" s="25">
        <v>0.188</v>
      </c>
      <c r="E22" s="60">
        <v>0.188</v>
      </c>
      <c r="F22" s="25">
        <v>0.188</v>
      </c>
      <c r="G22" s="66">
        <v>0.255</v>
      </c>
      <c r="H22" s="69">
        <v>0.184</v>
      </c>
      <c r="I22" s="73">
        <v>0.249</v>
      </c>
      <c r="J22" s="74">
        <v>0.26700000000000002</v>
      </c>
      <c r="K22" s="73">
        <v>0.35599999999999998</v>
      </c>
      <c r="L22" s="74">
        <v>0.32100000000000001</v>
      </c>
      <c r="M22" s="73">
        <v>0.41899999999999998</v>
      </c>
      <c r="N22" s="74">
        <v>0.46500000000000002</v>
      </c>
      <c r="O22" s="73">
        <v>46.427999999999997</v>
      </c>
      <c r="P22" s="74">
        <v>46.473999999999997</v>
      </c>
      <c r="Q22" s="73">
        <v>19.47</v>
      </c>
      <c r="R22" s="61">
        <v>34.944000000000003</v>
      </c>
      <c r="S22" s="15"/>
      <c r="T22" s="15"/>
      <c r="U22" s="23" t="s">
        <v>33</v>
      </c>
      <c r="V22" s="88">
        <f>AVERAGE(C22:D22)</f>
        <v>0.188</v>
      </c>
      <c r="W22" s="84">
        <f t="shared" si="18"/>
        <v>0.188</v>
      </c>
      <c r="X22" s="84">
        <f>AVERAGE(G22:H22)</f>
        <v>0.2195</v>
      </c>
      <c r="Y22" s="84">
        <f>AVERAGE(I22:J22)</f>
        <v>0.25800000000000001</v>
      </c>
      <c r="Z22" s="84">
        <f>AVERAGE(K22:L22)</f>
        <v>0.33850000000000002</v>
      </c>
      <c r="AA22" s="84">
        <f>AVERAGE(M22:N22)</f>
        <v>0.442</v>
      </c>
      <c r="AB22" s="84">
        <f>AVERAGE(O22:P22)</f>
        <v>46.450999999999993</v>
      </c>
      <c r="AC22" s="89">
        <f>AVERAGE(Q22:R22)</f>
        <v>27.207000000000001</v>
      </c>
      <c r="AE22" s="88">
        <f>STDEV(C22:D22)</f>
        <v>0</v>
      </c>
      <c r="AF22" s="84"/>
      <c r="AG22" s="84">
        <f>STDEV(G22:H22)</f>
        <v>5.0204581464244821E-2</v>
      </c>
      <c r="AH22" s="84">
        <f>STDEV(I22:J22)</f>
        <v>1.2727922061357866E-2</v>
      </c>
      <c r="AI22" s="84">
        <f>STDEV(K22:L22)</f>
        <v>2.4748737341529145E-2</v>
      </c>
      <c r="AJ22" s="84">
        <f>STDEV(M22:N22)</f>
        <v>3.2526911934581217E-2</v>
      </c>
      <c r="AK22" s="84">
        <f>STDEV(O22:P22)</f>
        <v>3.2526911934580745E-2</v>
      </c>
      <c r="AL22" s="89">
        <f>STDEV(Q22:R22)</f>
        <v>10.941770332080639</v>
      </c>
      <c r="AM22" s="19"/>
      <c r="AN22" s="96">
        <v>26</v>
      </c>
      <c r="AO22" s="88">
        <f>V45</f>
        <v>9.5000000000000001E-2</v>
      </c>
      <c r="AP22" s="84">
        <v>0</v>
      </c>
      <c r="AQ22" s="84">
        <f t="shared" ref="AQ22:AV22" si="23">X45</f>
        <v>0.216</v>
      </c>
      <c r="AR22" s="84">
        <f t="shared" si="23"/>
        <v>0.19950000000000001</v>
      </c>
      <c r="AS22" s="84">
        <f t="shared" si="23"/>
        <v>0.2225</v>
      </c>
      <c r="AT22" s="84">
        <f t="shared" si="23"/>
        <v>0.24299999999999999</v>
      </c>
      <c r="AU22" s="84">
        <f t="shared" si="23"/>
        <v>9.5000000000000001E-2</v>
      </c>
      <c r="AV22" s="89">
        <f t="shared" si="23"/>
        <v>2.1070000000000002</v>
      </c>
      <c r="AX22" s="88">
        <f>AE45</f>
        <v>0.13435028842544403</v>
      </c>
      <c r="AY22" s="84" t="e">
        <f t="shared" ref="AY22:BE22" si="24">AF45</f>
        <v>#DIV/0!</v>
      </c>
      <c r="AZ22" s="84">
        <f t="shared" si="24"/>
        <v>3.8183766184073577E-2</v>
      </c>
      <c r="BA22" s="84">
        <f t="shared" si="24"/>
        <v>2.0506096654409878E-2</v>
      </c>
      <c r="BB22" s="84">
        <f t="shared" si="24"/>
        <v>2.7577164466275339E-2</v>
      </c>
      <c r="BC22" s="84">
        <f t="shared" si="24"/>
        <v>7.0710678118654814E-3</v>
      </c>
      <c r="BD22" s="84">
        <f t="shared" si="24"/>
        <v>0.13435028842544403</v>
      </c>
      <c r="BE22" s="89">
        <f t="shared" si="24"/>
        <v>2.4366899679688427</v>
      </c>
    </row>
    <row r="23" spans="2:57" ht="15.75" x14ac:dyDescent="0.25">
      <c r="B23" s="23" t="s">
        <v>34</v>
      </c>
      <c r="C23" s="60">
        <v>0.86199999999999999</v>
      </c>
      <c r="D23" s="25">
        <v>0.6</v>
      </c>
      <c r="E23" s="60">
        <v>0.86199999999999999</v>
      </c>
      <c r="F23" s="25">
        <v>0.6</v>
      </c>
      <c r="G23" s="66">
        <v>0.76500000000000001</v>
      </c>
      <c r="H23" s="69">
        <v>0.78200000000000003</v>
      </c>
      <c r="I23" s="73">
        <v>0.56499999999999995</v>
      </c>
      <c r="J23" s="74">
        <v>0.44</v>
      </c>
      <c r="K23" s="73">
        <v>0.56699999999999995</v>
      </c>
      <c r="L23" s="74">
        <v>0.53200000000000003</v>
      </c>
      <c r="M23" s="73">
        <v>0.77</v>
      </c>
      <c r="N23" s="74">
        <v>0.79500000000000004</v>
      </c>
      <c r="O23" s="73">
        <v>0.24099999999999999</v>
      </c>
      <c r="P23" s="74"/>
      <c r="Q23" s="73">
        <v>0</v>
      </c>
      <c r="R23" s="61">
        <v>0.26900000000000002</v>
      </c>
      <c r="S23" s="15"/>
      <c r="T23" s="15"/>
      <c r="U23" s="23" t="s">
        <v>34</v>
      </c>
      <c r="V23" s="88">
        <f>AVERAGE(C23:D23)</f>
        <v>0.73099999999999998</v>
      </c>
      <c r="W23" s="84">
        <f t="shared" si="18"/>
        <v>0.73099999999999998</v>
      </c>
      <c r="X23" s="84">
        <f>AVERAGE(G23:H23)</f>
        <v>0.77350000000000008</v>
      </c>
      <c r="Y23" s="84">
        <f>AVERAGE(I23:J23)</f>
        <v>0.50249999999999995</v>
      </c>
      <c r="Z23" s="84">
        <f>AVERAGE(K23:L23)</f>
        <v>0.54949999999999999</v>
      </c>
      <c r="AA23" s="84">
        <f>AVERAGE(M23:N23)</f>
        <v>0.78249999999999997</v>
      </c>
      <c r="AB23" s="84">
        <f>AVERAGE(O23:P23)</f>
        <v>0.24099999999999999</v>
      </c>
      <c r="AC23" s="89">
        <f>AVERAGE(Q23:R23)</f>
        <v>0.13450000000000001</v>
      </c>
      <c r="AE23" s="88">
        <f>STDEV(C23:D23)</f>
        <v>0.18526197667087535</v>
      </c>
      <c r="AF23" s="84"/>
      <c r="AG23" s="84">
        <f>STDEV(G23:H23)</f>
        <v>1.2020815280171319E-2</v>
      </c>
      <c r="AH23" s="84">
        <f>STDEV(I23:J23)</f>
        <v>8.8388347648318447E-2</v>
      </c>
      <c r="AI23" s="84">
        <f>STDEV(K23:L23)</f>
        <v>2.4748737341529107E-2</v>
      </c>
      <c r="AJ23" s="84">
        <f>STDEV(M23:N23)</f>
        <v>1.7677669529663705E-2</v>
      </c>
      <c r="AK23" s="84" t="e">
        <f>STDEV(O23:P23)</f>
        <v>#DIV/0!</v>
      </c>
      <c r="AL23" s="89">
        <f>STDEV(Q23:R23)</f>
        <v>0.1902117241391813</v>
      </c>
      <c r="AM23" s="19"/>
      <c r="AN23" s="96">
        <v>34</v>
      </c>
      <c r="AO23" s="88">
        <f>V58</f>
        <v>0</v>
      </c>
      <c r="AP23" s="84">
        <f t="shared" ref="AP23:AV23" si="25">W58</f>
        <v>0</v>
      </c>
      <c r="AQ23" s="84">
        <f t="shared" si="25"/>
        <v>1.0815000000000001</v>
      </c>
      <c r="AR23" s="84">
        <f t="shared" si="25"/>
        <v>0.69900000000000007</v>
      </c>
      <c r="AS23" s="84">
        <f t="shared" si="25"/>
        <v>0.47550000000000003</v>
      </c>
      <c r="AT23" s="84">
        <f t="shared" si="25"/>
        <v>0.505</v>
      </c>
      <c r="AU23" s="84">
        <f t="shared" si="25"/>
        <v>0</v>
      </c>
      <c r="AV23" s="89">
        <f t="shared" si="25"/>
        <v>0</v>
      </c>
      <c r="AX23" s="88">
        <f>AE58</f>
        <v>0</v>
      </c>
      <c r="AY23" s="84">
        <f t="shared" ref="AY23:BE23" si="26">AF58</f>
        <v>0</v>
      </c>
      <c r="AZ23" s="84">
        <f t="shared" si="26"/>
        <v>3.6062445840513872E-2</v>
      </c>
      <c r="BA23" s="84">
        <f t="shared" si="26"/>
        <v>2.1213203435596368E-2</v>
      </c>
      <c r="BB23" s="84">
        <f t="shared" si="26"/>
        <v>3.040559159102153E-2</v>
      </c>
      <c r="BC23" s="84">
        <f t="shared" si="26"/>
        <v>1.4142135623730963E-2</v>
      </c>
      <c r="BD23" s="84">
        <f t="shared" si="26"/>
        <v>0</v>
      </c>
      <c r="BE23" s="89">
        <f t="shared" si="26"/>
        <v>0</v>
      </c>
    </row>
    <row r="24" spans="2:57" ht="16.5" thickBot="1" x14ac:dyDescent="0.3">
      <c r="B24" s="21" t="s">
        <v>35</v>
      </c>
      <c r="C24" s="62">
        <v>57.228000000000002</v>
      </c>
      <c r="D24" s="63">
        <v>57.585000000000001</v>
      </c>
      <c r="E24" s="62">
        <v>57.228000000000002</v>
      </c>
      <c r="F24" s="63">
        <v>57.585000000000001</v>
      </c>
      <c r="G24" s="67">
        <v>57.399000000000001</v>
      </c>
      <c r="H24" s="70">
        <v>57.177</v>
      </c>
      <c r="I24" s="75">
        <v>57.079000000000001</v>
      </c>
      <c r="J24" s="76">
        <v>57.432000000000002</v>
      </c>
      <c r="K24" s="75">
        <v>57.661000000000001</v>
      </c>
      <c r="L24" s="76">
        <v>57.819000000000003</v>
      </c>
      <c r="M24" s="75">
        <v>57.698999999999998</v>
      </c>
      <c r="N24" s="76">
        <v>57.857999999999997</v>
      </c>
      <c r="O24" s="75">
        <v>59.793999999999997</v>
      </c>
      <c r="P24" s="76">
        <v>59.584000000000003</v>
      </c>
      <c r="Q24" s="75">
        <v>59.438000000000002</v>
      </c>
      <c r="R24" s="64">
        <v>60.073</v>
      </c>
      <c r="S24" s="15"/>
      <c r="T24" s="15"/>
      <c r="U24" s="21" t="s">
        <v>35</v>
      </c>
      <c r="V24" s="90">
        <f>AVERAGE(C24:D24)</f>
        <v>57.406500000000001</v>
      </c>
      <c r="W24" s="91">
        <f t="shared" si="18"/>
        <v>57.406500000000001</v>
      </c>
      <c r="X24" s="91">
        <f>AVERAGE(G24:H24)</f>
        <v>57.287999999999997</v>
      </c>
      <c r="Y24" s="91">
        <f>AVERAGE(I24:J24)</f>
        <v>57.255499999999998</v>
      </c>
      <c r="Z24" s="91">
        <f>AVERAGE(K24:L24)</f>
        <v>57.74</v>
      </c>
      <c r="AA24" s="91">
        <f>AVERAGE(M24:N24)</f>
        <v>57.778499999999994</v>
      </c>
      <c r="AB24" s="91">
        <f>AVERAGE(O24:P24)</f>
        <v>59.689</v>
      </c>
      <c r="AC24" s="92">
        <f>AVERAGE(Q24:R24)</f>
        <v>59.755499999999998</v>
      </c>
      <c r="AE24" s="90">
        <f>STDEV(C24:D24)</f>
        <v>0.25243712088359699</v>
      </c>
      <c r="AF24" s="91"/>
      <c r="AG24" s="91">
        <f>STDEV(G24:H24)</f>
        <v>0.15697770542341447</v>
      </c>
      <c r="AH24" s="91">
        <f>STDEV(I24:J24)</f>
        <v>0.24960869375885236</v>
      </c>
      <c r="AI24" s="91">
        <f>STDEV(K24:L24)</f>
        <v>0.11172287142747539</v>
      </c>
      <c r="AJ24" s="91">
        <f>STDEV(M24:N24)</f>
        <v>0.1124299782086603</v>
      </c>
      <c r="AK24" s="91">
        <f>STDEV(O24:P24)</f>
        <v>0.14849242404917054</v>
      </c>
      <c r="AL24" s="92">
        <f>STDEV(Q24:R24)</f>
        <v>0.44901280605345628</v>
      </c>
      <c r="AM24" s="19"/>
      <c r="AN24" s="97"/>
      <c r="AO24" s="90"/>
      <c r="AP24" s="91"/>
      <c r="AQ24" s="91"/>
      <c r="AR24" s="91"/>
      <c r="AS24" s="91"/>
      <c r="AT24" s="91"/>
      <c r="AU24" s="91"/>
      <c r="AV24" s="92"/>
      <c r="AX24" s="90"/>
      <c r="AY24" s="91"/>
      <c r="AZ24" s="91"/>
      <c r="BA24" s="91"/>
      <c r="BB24" s="91"/>
      <c r="BC24" s="91"/>
      <c r="BD24" s="91"/>
      <c r="BE24" s="92"/>
    </row>
    <row r="25" spans="2:57" ht="15.75" thickBot="1" x14ac:dyDescent="0.3">
      <c r="B25" s="20"/>
      <c r="C25" s="25"/>
      <c r="D25" s="25"/>
      <c r="E25" s="25"/>
      <c r="F25" s="25"/>
      <c r="G25" s="25"/>
      <c r="H25" s="2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20"/>
      <c r="AD25" s="55"/>
      <c r="AE25" s="55"/>
      <c r="AF25" s="55"/>
      <c r="AG25" s="55"/>
      <c r="AH25" s="55"/>
      <c r="AI25" s="55"/>
      <c r="AJ25" s="55"/>
    </row>
    <row r="26" spans="2:57" ht="21.75" thickBot="1" x14ac:dyDescent="0.4">
      <c r="C26" s="181" t="s">
        <v>56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3"/>
      <c r="V26" s="181" t="s">
        <v>56</v>
      </c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3"/>
      <c r="AM26" s="93"/>
    </row>
    <row r="27" spans="2:57" ht="30.75" thickBot="1" x14ac:dyDescent="0.3">
      <c r="C27" s="28" t="s">
        <v>37</v>
      </c>
      <c r="D27" s="30" t="s">
        <v>38</v>
      </c>
      <c r="E27" s="28" t="s">
        <v>76</v>
      </c>
      <c r="F27" s="30" t="s">
        <v>64</v>
      </c>
      <c r="G27" s="28" t="s">
        <v>39</v>
      </c>
      <c r="H27" s="30" t="s">
        <v>40</v>
      </c>
      <c r="I27" s="28" t="s">
        <v>41</v>
      </c>
      <c r="J27" s="30" t="s">
        <v>42</v>
      </c>
      <c r="K27" s="28" t="s">
        <v>43</v>
      </c>
      <c r="L27" s="30" t="s">
        <v>44</v>
      </c>
      <c r="M27" s="28" t="s">
        <v>45</v>
      </c>
      <c r="N27" s="30" t="s">
        <v>46</v>
      </c>
      <c r="O27" s="28" t="s">
        <v>49</v>
      </c>
      <c r="P27" s="30" t="s">
        <v>50</v>
      </c>
      <c r="Q27" s="29" t="s">
        <v>47</v>
      </c>
      <c r="R27" s="30" t="s">
        <v>48</v>
      </c>
      <c r="V27" s="189" t="s">
        <v>80</v>
      </c>
      <c r="W27" s="190"/>
      <c r="X27" s="190"/>
      <c r="Y27" s="190"/>
      <c r="Z27" s="190"/>
      <c r="AA27" s="190"/>
      <c r="AB27" s="190"/>
      <c r="AC27" s="191"/>
      <c r="AE27" s="189" t="s">
        <v>81</v>
      </c>
      <c r="AF27" s="190"/>
      <c r="AG27" s="190"/>
      <c r="AH27" s="190"/>
      <c r="AI27" s="190"/>
      <c r="AJ27" s="190"/>
      <c r="AK27" s="190"/>
      <c r="AL27" s="191"/>
      <c r="AM27" s="94"/>
    </row>
    <row r="28" spans="2:57" ht="30" x14ac:dyDescent="0.25">
      <c r="C28" s="184" t="s">
        <v>57</v>
      </c>
      <c r="D28" s="185"/>
      <c r="E28" s="184" t="s">
        <v>57</v>
      </c>
      <c r="F28" s="185"/>
      <c r="G28" s="184" t="s">
        <v>57</v>
      </c>
      <c r="H28" s="185"/>
      <c r="I28" s="184" t="s">
        <v>57</v>
      </c>
      <c r="J28" s="185"/>
      <c r="K28" s="184" t="s">
        <v>57</v>
      </c>
      <c r="L28" s="185"/>
      <c r="M28" s="184" t="s">
        <v>57</v>
      </c>
      <c r="N28" s="185"/>
      <c r="O28" s="184" t="s">
        <v>57</v>
      </c>
      <c r="P28" s="185"/>
      <c r="Q28" s="184" t="s">
        <v>57</v>
      </c>
      <c r="R28" s="185"/>
      <c r="V28" s="78" t="s">
        <v>51</v>
      </c>
      <c r="W28" s="79" t="s">
        <v>77</v>
      </c>
      <c r="X28" s="79" t="s">
        <v>18</v>
      </c>
      <c r="Y28" s="79" t="s">
        <v>19</v>
      </c>
      <c r="Z28" s="79" t="s">
        <v>79</v>
      </c>
      <c r="AA28" s="79" t="s">
        <v>21</v>
      </c>
      <c r="AB28" s="79" t="s">
        <v>22</v>
      </c>
      <c r="AC28" s="80" t="s">
        <v>66</v>
      </c>
      <c r="AE28" s="78" t="s">
        <v>51</v>
      </c>
      <c r="AF28" s="79" t="s">
        <v>77</v>
      </c>
      <c r="AG28" s="79" t="s">
        <v>18</v>
      </c>
      <c r="AH28" s="79" t="s">
        <v>19</v>
      </c>
      <c r="AI28" s="79" t="s">
        <v>79</v>
      </c>
      <c r="AJ28" s="79" t="s">
        <v>21</v>
      </c>
      <c r="AK28" s="79" t="s">
        <v>22</v>
      </c>
      <c r="AL28" s="80" t="s">
        <v>66</v>
      </c>
      <c r="AM28" s="24"/>
    </row>
    <row r="29" spans="2:57" ht="15.75" thickBot="1" x14ac:dyDescent="0.3">
      <c r="B29" s="20"/>
      <c r="C29" s="31" t="s">
        <v>58</v>
      </c>
      <c r="D29" s="32" t="s">
        <v>59</v>
      </c>
      <c r="E29" s="31" t="s">
        <v>58</v>
      </c>
      <c r="F29" s="32" t="s">
        <v>59</v>
      </c>
      <c r="G29" s="31" t="s">
        <v>58</v>
      </c>
      <c r="H29" s="32" t="s">
        <v>59</v>
      </c>
      <c r="I29" s="31" t="s">
        <v>58</v>
      </c>
      <c r="J29" s="32" t="s">
        <v>59</v>
      </c>
      <c r="K29" s="31" t="s">
        <v>58</v>
      </c>
      <c r="L29" s="32" t="s">
        <v>59</v>
      </c>
      <c r="M29" s="31" t="s">
        <v>58</v>
      </c>
      <c r="N29" s="32" t="s">
        <v>59</v>
      </c>
      <c r="O29" s="31" t="s">
        <v>58</v>
      </c>
      <c r="P29" s="32" t="s">
        <v>59</v>
      </c>
      <c r="Q29" s="31" t="s">
        <v>58</v>
      </c>
      <c r="R29" s="32" t="s">
        <v>59</v>
      </c>
      <c r="V29" s="31" t="s">
        <v>57</v>
      </c>
      <c r="W29" s="81" t="s">
        <v>57</v>
      </c>
      <c r="X29" s="81" t="s">
        <v>57</v>
      </c>
      <c r="Y29" s="81" t="s">
        <v>57</v>
      </c>
      <c r="Z29" s="81" t="s">
        <v>57</v>
      </c>
      <c r="AA29" s="81" t="s">
        <v>57</v>
      </c>
      <c r="AB29" s="81" t="s">
        <v>57</v>
      </c>
      <c r="AC29" s="32" t="s">
        <v>57</v>
      </c>
      <c r="AE29" s="82" t="s">
        <v>57</v>
      </c>
      <c r="AF29" s="81" t="s">
        <v>57</v>
      </c>
      <c r="AG29" s="77" t="s">
        <v>57</v>
      </c>
      <c r="AH29" s="77" t="s">
        <v>57</v>
      </c>
      <c r="AI29" s="77" t="s">
        <v>57</v>
      </c>
      <c r="AJ29" s="77" t="s">
        <v>57</v>
      </c>
      <c r="AK29" s="77" t="s">
        <v>57</v>
      </c>
      <c r="AL29" s="83" t="s">
        <v>57</v>
      </c>
      <c r="AM29" s="77"/>
    </row>
    <row r="30" spans="2:57" x14ac:dyDescent="0.25">
      <c r="B30" s="22" t="s">
        <v>31</v>
      </c>
      <c r="C30" s="57">
        <v>0.45</v>
      </c>
      <c r="D30" s="58">
        <v>0.44600000000000001</v>
      </c>
      <c r="E30" s="57">
        <v>0.45</v>
      </c>
      <c r="F30" s="58">
        <v>0.44600000000000001</v>
      </c>
      <c r="G30" s="65">
        <v>0.44500000000000001</v>
      </c>
      <c r="H30" s="68">
        <v>0.48299999999999998</v>
      </c>
      <c r="I30" s="71">
        <v>0.45500000000000002</v>
      </c>
      <c r="J30" s="72">
        <v>0.46600000000000003</v>
      </c>
      <c r="K30" s="71">
        <v>0.441</v>
      </c>
      <c r="L30" s="72">
        <v>0.42399999999999999</v>
      </c>
      <c r="M30" s="71">
        <v>0.443</v>
      </c>
      <c r="N30" s="72">
        <v>0.42299999999999999</v>
      </c>
      <c r="O30" s="71">
        <v>0.45400000000000001</v>
      </c>
      <c r="P30" s="72">
        <v>0.44400000000000001</v>
      </c>
      <c r="Q30" s="71">
        <v>0.41799999999999998</v>
      </c>
      <c r="R30" s="72">
        <v>0.42399999999999999</v>
      </c>
      <c r="U30" s="22" t="s">
        <v>31</v>
      </c>
      <c r="V30" s="85">
        <f>AVERAGE(C30:D30)</f>
        <v>0.44800000000000001</v>
      </c>
      <c r="W30" s="86">
        <f>AVERAGE(D30:E30)</f>
        <v>0.44800000000000001</v>
      </c>
      <c r="X30" s="86">
        <f>AVERAGE(G30:H30)</f>
        <v>0.46399999999999997</v>
      </c>
      <c r="Y30" s="86">
        <v>0</v>
      </c>
      <c r="Z30" s="86">
        <f>AVERAGE(K30:L30)</f>
        <v>0.4325</v>
      </c>
      <c r="AA30" s="86">
        <f>AVERAGE(M30:N30)</f>
        <v>0.433</v>
      </c>
      <c r="AB30" s="86">
        <f>AVERAGE(O30:P30)</f>
        <v>0.44900000000000001</v>
      </c>
      <c r="AC30" s="87">
        <f>AVERAGE(Q30:R30)</f>
        <v>0.42099999999999999</v>
      </c>
      <c r="AE30" s="85">
        <f>STDEV(C30:D30)</f>
        <v>2.8284271247461927E-3</v>
      </c>
      <c r="AF30" s="86"/>
      <c r="AG30" s="86">
        <f>STDEV(G30:H30)</f>
        <v>2.6870057685088791E-2</v>
      </c>
      <c r="AH30" s="86">
        <f>STDEV(I30:J30)</f>
        <v>7.7781745930520299E-3</v>
      </c>
      <c r="AI30" s="86">
        <f>STDEV(K30:L30)</f>
        <v>1.2020815280171319E-2</v>
      </c>
      <c r="AJ30" s="86">
        <f>STDEV(M30:N30)</f>
        <v>1.4142135623730963E-2</v>
      </c>
      <c r="AK30" s="86">
        <f>STDEV(O30:P30)</f>
        <v>7.0710678118654814E-3</v>
      </c>
      <c r="AL30" s="87">
        <f>STDEV(Q30:R30)</f>
        <v>4.2426406871192892E-3</v>
      </c>
      <c r="AM30" s="19"/>
    </row>
    <row r="31" spans="2:57" x14ac:dyDescent="0.25">
      <c r="B31" s="23" t="s">
        <v>32</v>
      </c>
      <c r="C31" s="60">
        <v>27.277000000000001</v>
      </c>
      <c r="D31" s="25">
        <v>27.311</v>
      </c>
      <c r="E31" s="60">
        <v>27.277000000000001</v>
      </c>
      <c r="F31" s="25">
        <v>27.311</v>
      </c>
      <c r="G31" s="66">
        <v>25.826000000000001</v>
      </c>
      <c r="H31" s="69">
        <v>25.759</v>
      </c>
      <c r="I31" s="73">
        <v>25.795000000000002</v>
      </c>
      <c r="J31" s="74">
        <v>25.753</v>
      </c>
      <c r="K31" s="73">
        <v>25.867999999999999</v>
      </c>
      <c r="L31" s="74">
        <v>25.853999999999999</v>
      </c>
      <c r="M31" s="73">
        <v>26.006</v>
      </c>
      <c r="N31" s="74">
        <v>25.791</v>
      </c>
      <c r="O31" s="73">
        <v>28.532</v>
      </c>
      <c r="P31" s="74">
        <v>28.489000000000001</v>
      </c>
      <c r="Q31" s="73">
        <v>27.074999999999999</v>
      </c>
      <c r="R31" s="74">
        <v>27.035</v>
      </c>
      <c r="U31" s="23" t="s">
        <v>32</v>
      </c>
      <c r="V31" s="88">
        <f>AVERAGE(C31:D31)</f>
        <v>27.294</v>
      </c>
      <c r="W31" s="84">
        <f t="shared" ref="W31:W35" si="27">AVERAGE(D31:E31)</f>
        <v>27.294</v>
      </c>
      <c r="X31" s="84">
        <f>AVERAGE(G31:H31)</f>
        <v>25.7925</v>
      </c>
      <c r="Y31" s="84">
        <f>AVERAGE(I31:J31)</f>
        <v>25.774000000000001</v>
      </c>
      <c r="Z31" s="84">
        <f>AVERAGE(K31:L31)</f>
        <v>25.860999999999997</v>
      </c>
      <c r="AA31" s="84">
        <f>AVERAGE(M31:N31)</f>
        <v>25.898499999999999</v>
      </c>
      <c r="AB31" s="84">
        <f>AVERAGE(O31:P31)</f>
        <v>28.5105</v>
      </c>
      <c r="AC31" s="89">
        <f>AVERAGE(Q31:R31)</f>
        <v>27.055</v>
      </c>
      <c r="AE31" s="88">
        <f>STDEV(C31:D31)</f>
        <v>2.4041630560341854E-2</v>
      </c>
      <c r="AF31" s="84"/>
      <c r="AG31" s="84">
        <f>STDEV(G31:H31)</f>
        <v>4.7376154339498801E-2</v>
      </c>
      <c r="AH31" s="84">
        <f>STDEV(I31:J31)</f>
        <v>2.9698484809836122E-2</v>
      </c>
      <c r="AI31" s="84">
        <f>STDEV(K31:L31)</f>
        <v>9.8994949366112035E-3</v>
      </c>
      <c r="AJ31" s="84">
        <f>STDEV(M31:N31)</f>
        <v>0.15202795795510762</v>
      </c>
      <c r="AK31" s="84">
        <f>STDEV(O31:P31)</f>
        <v>3.0405591591021019E-2</v>
      </c>
      <c r="AL31" s="89">
        <f>STDEV(Q31:R31)</f>
        <v>2.8284271247461298E-2</v>
      </c>
      <c r="AM31" s="19"/>
    </row>
    <row r="32" spans="2:57" x14ac:dyDescent="0.25">
      <c r="B32" s="23" t="s">
        <v>62</v>
      </c>
      <c r="C32" s="60"/>
      <c r="D32" s="25"/>
      <c r="E32" s="60"/>
      <c r="F32" s="25"/>
      <c r="G32" s="66">
        <v>0.52300000000000002</v>
      </c>
      <c r="H32" s="69">
        <v>0.53200000000000003</v>
      </c>
      <c r="I32" s="73">
        <v>0.45</v>
      </c>
      <c r="J32" s="74">
        <v>0.45100000000000001</v>
      </c>
      <c r="K32" s="73">
        <v>0.32200000000000001</v>
      </c>
      <c r="L32" s="74">
        <v>0.316</v>
      </c>
      <c r="M32" s="73">
        <v>0.437</v>
      </c>
      <c r="N32" s="74">
        <v>0.432</v>
      </c>
      <c r="O32" s="73"/>
      <c r="P32" s="74"/>
      <c r="Q32" s="73">
        <v>0.66700000000000004</v>
      </c>
      <c r="R32" s="74">
        <v>0.67</v>
      </c>
      <c r="U32" s="23" t="s">
        <v>62</v>
      </c>
      <c r="V32" s="88"/>
      <c r="W32" s="84" t="e">
        <f t="shared" si="27"/>
        <v>#DIV/0!</v>
      </c>
      <c r="X32" s="84"/>
      <c r="Y32" s="84"/>
      <c r="Z32" s="84"/>
      <c r="AA32" s="84"/>
      <c r="AB32" s="84"/>
      <c r="AC32" s="89"/>
      <c r="AE32" s="88"/>
      <c r="AF32" s="84"/>
      <c r="AG32" s="84"/>
      <c r="AH32" s="84"/>
      <c r="AI32" s="84"/>
      <c r="AJ32" s="84"/>
      <c r="AK32" s="84"/>
      <c r="AL32" s="89"/>
      <c r="AM32" s="19"/>
    </row>
    <row r="33" spans="2:39" x14ac:dyDescent="0.25">
      <c r="B33" s="23" t="s">
        <v>33</v>
      </c>
      <c r="C33" s="60">
        <v>0</v>
      </c>
      <c r="D33" s="25">
        <v>0</v>
      </c>
      <c r="E33" s="60">
        <v>0</v>
      </c>
      <c r="F33" s="25">
        <v>0</v>
      </c>
      <c r="G33" s="66">
        <v>0.215</v>
      </c>
      <c r="H33" s="69">
        <v>0</v>
      </c>
      <c r="I33" s="73">
        <v>0.18099999999999999</v>
      </c>
      <c r="J33" s="74">
        <v>0</v>
      </c>
      <c r="K33" s="73">
        <v>0.22600000000000001</v>
      </c>
      <c r="L33" s="74">
        <v>0.23499999999999999</v>
      </c>
      <c r="M33" s="73">
        <v>0.23200000000000001</v>
      </c>
      <c r="N33" s="74">
        <v>0.23200000000000001</v>
      </c>
      <c r="O33" s="73">
        <v>5.3959999999999999</v>
      </c>
      <c r="P33" s="74">
        <v>5.4009999999999998</v>
      </c>
      <c r="Q33" s="73">
        <v>4.0359999999999996</v>
      </c>
      <c r="R33" s="74">
        <v>4.0590000000000002</v>
      </c>
      <c r="U33" s="23" t="s">
        <v>33</v>
      </c>
      <c r="V33" s="88">
        <f>AVERAGE(C33:D33)</f>
        <v>0</v>
      </c>
      <c r="W33" s="84">
        <f t="shared" si="27"/>
        <v>0</v>
      </c>
      <c r="X33" s="84">
        <f>AVERAGE(G33:H33)</f>
        <v>0.1075</v>
      </c>
      <c r="Y33" s="84">
        <f>AVERAGE(I33:J33)</f>
        <v>9.0499999999999997E-2</v>
      </c>
      <c r="Z33" s="84">
        <f>AVERAGE(K33:L33)</f>
        <v>0.23049999999999998</v>
      </c>
      <c r="AA33" s="84">
        <f>AVERAGE(M33:N33)</f>
        <v>0.23200000000000001</v>
      </c>
      <c r="AB33" s="84">
        <f>AVERAGE(O33:P33)</f>
        <v>5.3985000000000003</v>
      </c>
      <c r="AC33" s="89">
        <f>AVERAGE(Q33:R33)</f>
        <v>4.0474999999999994</v>
      </c>
      <c r="AE33" s="88">
        <f>STDEV(C33:D33)</f>
        <v>0</v>
      </c>
      <c r="AF33" s="84"/>
      <c r="AG33" s="84">
        <f>STDEV(G33:H33)</f>
        <v>0.15202795795510771</v>
      </c>
      <c r="AH33" s="84">
        <f>STDEV(I33:J33)</f>
        <v>0.12798632739476509</v>
      </c>
      <c r="AI33" s="84">
        <f>STDEV(K33:L33)</f>
        <v>6.3639610306789138E-3</v>
      </c>
      <c r="AJ33" s="84">
        <f>STDEV(M33:N33)</f>
        <v>0</v>
      </c>
      <c r="AK33" s="84">
        <f>STDEV(O33:P33)</f>
        <v>3.5355339059326622E-3</v>
      </c>
      <c r="AL33" s="89">
        <f>STDEV(Q33:R33)</f>
        <v>1.6263455967291E-2</v>
      </c>
      <c r="AM33" s="19"/>
    </row>
    <row r="34" spans="2:39" x14ac:dyDescent="0.25">
      <c r="B34" s="23" t="s">
        <v>34</v>
      </c>
      <c r="C34" s="60">
        <v>1.17</v>
      </c>
      <c r="D34" s="25">
        <v>0.56299999999999994</v>
      </c>
      <c r="E34" s="60">
        <v>1.17</v>
      </c>
      <c r="F34" s="25">
        <v>0.56299999999999994</v>
      </c>
      <c r="G34" s="66">
        <v>1.3340000000000001</v>
      </c>
      <c r="H34" s="69">
        <v>1.466</v>
      </c>
      <c r="I34" s="73">
        <v>0.65900000000000003</v>
      </c>
      <c r="J34" s="74">
        <v>0.50900000000000001</v>
      </c>
      <c r="K34" s="73">
        <v>0.79800000000000004</v>
      </c>
      <c r="L34" s="74">
        <v>0.747</v>
      </c>
      <c r="M34" s="73">
        <v>1.413</v>
      </c>
      <c r="N34" s="74">
        <v>1.476</v>
      </c>
      <c r="O34" s="73">
        <v>1.323</v>
      </c>
      <c r="P34" s="74">
        <v>1.288</v>
      </c>
      <c r="Q34" s="73">
        <v>0</v>
      </c>
      <c r="R34" s="74">
        <v>0.68</v>
      </c>
      <c r="U34" s="23" t="s">
        <v>34</v>
      </c>
      <c r="V34" s="88">
        <f>AVERAGE(C34:D34)</f>
        <v>0.86649999999999994</v>
      </c>
      <c r="W34" s="84">
        <f t="shared" si="27"/>
        <v>0.86649999999999994</v>
      </c>
      <c r="X34" s="84">
        <f>AVERAGE(G34:H34)</f>
        <v>1.4</v>
      </c>
      <c r="Y34" s="84">
        <f>AVERAGE(I34:J34)</f>
        <v>0.58400000000000007</v>
      </c>
      <c r="Z34" s="84">
        <f>AVERAGE(K34:L34)</f>
        <v>0.77249999999999996</v>
      </c>
      <c r="AA34" s="84">
        <f>AVERAGE(M34:N34)</f>
        <v>1.4445000000000001</v>
      </c>
      <c r="AB34" s="84">
        <f>AVERAGE(O34:P34)</f>
        <v>1.3054999999999999</v>
      </c>
      <c r="AC34" s="89">
        <f>AVERAGE(Q34:R34)</f>
        <v>0.34</v>
      </c>
      <c r="AE34" s="88">
        <f>STDEV(C34:D34)</f>
        <v>0.42921381618023435</v>
      </c>
      <c r="AF34" s="84"/>
      <c r="AG34" s="84">
        <f>STDEV(G34:H34)</f>
        <v>9.3338095116624206E-2</v>
      </c>
      <c r="AH34" s="84">
        <f>STDEV(I34:J34)</f>
        <v>0.10606601717798152</v>
      </c>
      <c r="AI34" s="84">
        <f>STDEV(K34:L34)</f>
        <v>3.6062445840513956E-2</v>
      </c>
      <c r="AJ34" s="84">
        <f>STDEV(M34:N34)</f>
        <v>4.4547727214752454E-2</v>
      </c>
      <c r="AK34" s="84">
        <f>STDEV(O34:P34)</f>
        <v>2.4748737341529107E-2</v>
      </c>
      <c r="AL34" s="89">
        <f>STDEV(Q34:R34)</f>
        <v>0.48083261120685239</v>
      </c>
      <c r="AM34" s="19"/>
    </row>
    <row r="35" spans="2:39" ht="15.75" thickBot="1" x14ac:dyDescent="0.3">
      <c r="B35" s="21" t="s">
        <v>35</v>
      </c>
      <c r="C35" s="62">
        <v>51.738999999999997</v>
      </c>
      <c r="D35" s="63">
        <v>51.835999999999999</v>
      </c>
      <c r="E35" s="62">
        <v>51.738999999999997</v>
      </c>
      <c r="F35" s="63">
        <v>51.835999999999999</v>
      </c>
      <c r="G35" s="67">
        <v>52.052999999999997</v>
      </c>
      <c r="H35" s="70">
        <v>52.188000000000002</v>
      </c>
      <c r="I35" s="75">
        <v>51.994</v>
      </c>
      <c r="J35" s="76">
        <v>52.529000000000003</v>
      </c>
      <c r="K35" s="75">
        <v>52.534999999999997</v>
      </c>
      <c r="L35" s="76">
        <v>52.567999999999998</v>
      </c>
      <c r="M35" s="75">
        <v>52.351999999999997</v>
      </c>
      <c r="N35" s="76">
        <v>52.125</v>
      </c>
      <c r="O35" s="75">
        <v>53.146000000000001</v>
      </c>
      <c r="P35" s="76">
        <v>53.155999999999999</v>
      </c>
      <c r="Q35" s="75">
        <v>53.579000000000001</v>
      </c>
      <c r="R35" s="76">
        <v>53.835000000000001</v>
      </c>
      <c r="U35" s="21" t="s">
        <v>35</v>
      </c>
      <c r="V35" s="90">
        <f>AVERAGE(C35:D35)</f>
        <v>51.787499999999994</v>
      </c>
      <c r="W35" s="91">
        <f t="shared" si="27"/>
        <v>51.787499999999994</v>
      </c>
      <c r="X35" s="91">
        <f>AVERAGE(G35:H35)</f>
        <v>52.1205</v>
      </c>
      <c r="Y35" s="91">
        <f>AVERAGE(I35:J35)</f>
        <v>52.261499999999998</v>
      </c>
      <c r="Z35" s="91">
        <f>AVERAGE(K35:L35)</f>
        <v>52.551499999999997</v>
      </c>
      <c r="AA35" s="91">
        <f>AVERAGE(M35:N35)</f>
        <v>52.238500000000002</v>
      </c>
      <c r="AB35" s="91">
        <f>AVERAGE(O35:P35)</f>
        <v>53.150999999999996</v>
      </c>
      <c r="AC35" s="92">
        <f>AVERAGE(Q35:R35)</f>
        <v>53.707000000000001</v>
      </c>
      <c r="AE35" s="90">
        <f>STDEV(C35:D35)</f>
        <v>6.8589357775096033E-2</v>
      </c>
      <c r="AF35" s="91"/>
      <c r="AG35" s="91">
        <f>STDEV(G35:H35)</f>
        <v>9.5459415460187533E-2</v>
      </c>
      <c r="AH35" s="91">
        <f>STDEV(I35:J35)</f>
        <v>0.37830212793480555</v>
      </c>
      <c r="AI35" s="91">
        <f>STDEV(K35:L35)</f>
        <v>2.3334523779156954E-2</v>
      </c>
      <c r="AJ35" s="91">
        <f>STDEV(M35:N35)</f>
        <v>0.160513239329344</v>
      </c>
      <c r="AK35" s="91">
        <f>STDEV(O35:P35)</f>
        <v>7.0710678118640685E-3</v>
      </c>
      <c r="AL35" s="92">
        <f>STDEV(Q35:R35)</f>
        <v>0.18101933598375633</v>
      </c>
      <c r="AM35" s="19"/>
    </row>
    <row r="36" spans="2:39" x14ac:dyDescent="0.25">
      <c r="F36" s="15"/>
      <c r="G36" s="15"/>
      <c r="H36" s="15"/>
    </row>
    <row r="37" spans="2:39" ht="15.75" thickBot="1" x14ac:dyDescent="0.3"/>
    <row r="38" spans="2:39" ht="21.75" thickBot="1" x14ac:dyDescent="0.4">
      <c r="C38" s="181" t="s">
        <v>63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3"/>
      <c r="V38" s="181" t="s">
        <v>63</v>
      </c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3"/>
      <c r="AM38" s="93"/>
    </row>
    <row r="39" spans="2:39" ht="30.75" thickBot="1" x14ac:dyDescent="0.3">
      <c r="C39" s="28" t="s">
        <v>37</v>
      </c>
      <c r="D39" s="30" t="s">
        <v>38</v>
      </c>
      <c r="E39" s="28" t="s">
        <v>76</v>
      </c>
      <c r="F39" s="30" t="s">
        <v>64</v>
      </c>
      <c r="G39" s="28" t="s">
        <v>39</v>
      </c>
      <c r="H39" s="30" t="s">
        <v>40</v>
      </c>
      <c r="I39" s="28" t="s">
        <v>41</v>
      </c>
      <c r="J39" s="30" t="s">
        <v>42</v>
      </c>
      <c r="K39" s="28" t="s">
        <v>43</v>
      </c>
      <c r="L39" s="30" t="s">
        <v>44</v>
      </c>
      <c r="M39" s="28" t="s">
        <v>45</v>
      </c>
      <c r="N39" s="30" t="s">
        <v>46</v>
      </c>
      <c r="O39" s="28" t="s">
        <v>49</v>
      </c>
      <c r="P39" s="30" t="s">
        <v>50</v>
      </c>
      <c r="Q39" s="29" t="s">
        <v>47</v>
      </c>
      <c r="R39" s="30" t="s">
        <v>48</v>
      </c>
      <c r="V39" s="189" t="s">
        <v>80</v>
      </c>
      <c r="W39" s="190"/>
      <c r="X39" s="190"/>
      <c r="Y39" s="190"/>
      <c r="Z39" s="190"/>
      <c r="AA39" s="190"/>
      <c r="AB39" s="190"/>
      <c r="AC39" s="191"/>
      <c r="AE39" s="189" t="s">
        <v>81</v>
      </c>
      <c r="AF39" s="190"/>
      <c r="AG39" s="190"/>
      <c r="AH39" s="190"/>
      <c r="AI39" s="190"/>
      <c r="AJ39" s="190"/>
      <c r="AK39" s="190"/>
      <c r="AL39" s="191"/>
      <c r="AM39" s="94"/>
    </row>
    <row r="40" spans="2:39" ht="30" x14ac:dyDescent="0.25">
      <c r="C40" s="184" t="s">
        <v>57</v>
      </c>
      <c r="D40" s="185"/>
      <c r="E40" s="184" t="s">
        <v>57</v>
      </c>
      <c r="F40" s="185"/>
      <c r="G40" s="184" t="s">
        <v>57</v>
      </c>
      <c r="H40" s="185"/>
      <c r="I40" s="184" t="s">
        <v>57</v>
      </c>
      <c r="J40" s="185"/>
      <c r="K40" s="184" t="s">
        <v>57</v>
      </c>
      <c r="L40" s="185"/>
      <c r="M40" s="184" t="s">
        <v>57</v>
      </c>
      <c r="N40" s="185"/>
      <c r="O40" s="184" t="s">
        <v>57</v>
      </c>
      <c r="P40" s="185"/>
      <c r="Q40" s="184" t="s">
        <v>57</v>
      </c>
      <c r="R40" s="185"/>
      <c r="V40" s="78" t="s">
        <v>51</v>
      </c>
      <c r="W40" s="79" t="s">
        <v>77</v>
      </c>
      <c r="X40" s="79" t="s">
        <v>18</v>
      </c>
      <c r="Y40" s="79" t="s">
        <v>19</v>
      </c>
      <c r="Z40" s="79" t="s">
        <v>79</v>
      </c>
      <c r="AA40" s="79" t="s">
        <v>21</v>
      </c>
      <c r="AB40" s="79" t="s">
        <v>22</v>
      </c>
      <c r="AC40" s="80" t="s">
        <v>66</v>
      </c>
      <c r="AE40" s="78" t="s">
        <v>51</v>
      </c>
      <c r="AF40" s="79" t="s">
        <v>77</v>
      </c>
      <c r="AG40" s="79" t="s">
        <v>18</v>
      </c>
      <c r="AH40" s="79" t="s">
        <v>19</v>
      </c>
      <c r="AI40" s="79" t="s">
        <v>79</v>
      </c>
      <c r="AJ40" s="79" t="s">
        <v>21</v>
      </c>
      <c r="AK40" s="79" t="s">
        <v>22</v>
      </c>
      <c r="AL40" s="80" t="s">
        <v>66</v>
      </c>
      <c r="AM40" s="24"/>
    </row>
    <row r="41" spans="2:39" ht="15.75" thickBot="1" x14ac:dyDescent="0.3">
      <c r="C41" s="31" t="s">
        <v>58</v>
      </c>
      <c r="D41" s="32" t="s">
        <v>59</v>
      </c>
      <c r="E41" s="31" t="s">
        <v>58</v>
      </c>
      <c r="F41" s="32" t="s">
        <v>59</v>
      </c>
      <c r="G41" s="31" t="s">
        <v>58</v>
      </c>
      <c r="H41" s="32" t="s">
        <v>59</v>
      </c>
      <c r="I41" s="31" t="s">
        <v>58</v>
      </c>
      <c r="J41" s="32" t="s">
        <v>59</v>
      </c>
      <c r="K41" s="31" t="s">
        <v>58</v>
      </c>
      <c r="L41" s="32" t="s">
        <v>59</v>
      </c>
      <c r="M41" s="31" t="s">
        <v>58</v>
      </c>
      <c r="N41" s="32" t="s">
        <v>59</v>
      </c>
      <c r="O41" s="31" t="s">
        <v>58</v>
      </c>
      <c r="P41" s="32" t="s">
        <v>59</v>
      </c>
      <c r="Q41" s="31" t="s">
        <v>58</v>
      </c>
      <c r="R41" s="32" t="s">
        <v>59</v>
      </c>
      <c r="V41" s="31" t="s">
        <v>57</v>
      </c>
      <c r="W41" s="81" t="s">
        <v>57</v>
      </c>
      <c r="X41" s="81" t="s">
        <v>57</v>
      </c>
      <c r="Y41" s="81" t="s">
        <v>57</v>
      </c>
      <c r="Z41" s="81" t="s">
        <v>57</v>
      </c>
      <c r="AA41" s="81" t="s">
        <v>57</v>
      </c>
      <c r="AB41" s="81" t="s">
        <v>57</v>
      </c>
      <c r="AC41" s="32" t="s">
        <v>57</v>
      </c>
      <c r="AE41" s="82" t="s">
        <v>57</v>
      </c>
      <c r="AF41" s="81" t="s">
        <v>57</v>
      </c>
      <c r="AG41" s="77" t="s">
        <v>57</v>
      </c>
      <c r="AH41" s="77" t="s">
        <v>57</v>
      </c>
      <c r="AI41" s="77" t="s">
        <v>57</v>
      </c>
      <c r="AJ41" s="77" t="s">
        <v>57</v>
      </c>
      <c r="AK41" s="77" t="s">
        <v>57</v>
      </c>
      <c r="AL41" s="83" t="s">
        <v>57</v>
      </c>
      <c r="AM41" s="77"/>
    </row>
    <row r="42" spans="2:39" x14ac:dyDescent="0.25">
      <c r="B42" s="22" t="s">
        <v>31</v>
      </c>
      <c r="C42" s="57">
        <v>0.45200000000000001</v>
      </c>
      <c r="D42" s="58">
        <v>0.44800000000000001</v>
      </c>
      <c r="E42" s="65">
        <v>0.503</v>
      </c>
      <c r="F42" s="68">
        <v>0.47199999999999998</v>
      </c>
      <c r="G42" s="65">
        <v>0.46200000000000002</v>
      </c>
      <c r="H42" s="68">
        <v>0.45800000000000002</v>
      </c>
      <c r="I42" s="71">
        <v>0.505</v>
      </c>
      <c r="J42" s="72">
        <v>0.46200000000000002</v>
      </c>
      <c r="K42" s="71">
        <v>0.47</v>
      </c>
      <c r="L42" s="72">
        <v>0.45400000000000001</v>
      </c>
      <c r="M42" s="71">
        <v>0.47599999999999998</v>
      </c>
      <c r="N42" s="72">
        <v>0.47899999999999998</v>
      </c>
      <c r="O42" s="71">
        <v>0.46600000000000003</v>
      </c>
      <c r="P42" s="72">
        <v>0.435</v>
      </c>
      <c r="Q42" s="71">
        <v>0.47599999999999998</v>
      </c>
      <c r="R42" s="72">
        <v>0.46200000000000002</v>
      </c>
      <c r="U42" s="22" t="s">
        <v>31</v>
      </c>
      <c r="V42" s="85">
        <f>AVERAGE(C42:D42)</f>
        <v>0.45</v>
      </c>
      <c r="W42" s="86">
        <f>AVERAGE(E42:F42)</f>
        <v>0.48749999999999999</v>
      </c>
      <c r="X42" s="86">
        <f>AVERAGE(G42:H42)</f>
        <v>0.46</v>
      </c>
      <c r="Y42" s="86">
        <f>AVERAGE(I42:J42)</f>
        <v>0.48350000000000004</v>
      </c>
      <c r="Z42" s="86">
        <f>AVERAGE(K42:L42)</f>
        <v>0.46199999999999997</v>
      </c>
      <c r="AA42" s="86">
        <f>AVERAGE(M42:N42)</f>
        <v>0.47749999999999998</v>
      </c>
      <c r="AB42" s="86">
        <f>AVERAGE(O42:P42)</f>
        <v>0.45050000000000001</v>
      </c>
      <c r="AC42" s="87">
        <f>AVERAGE(Q42:R42)</f>
        <v>0.46899999999999997</v>
      </c>
      <c r="AE42" s="85">
        <f>STDEV(C42:D42)</f>
        <v>2.8284271247461927E-3</v>
      </c>
      <c r="AF42" s="86">
        <f>STDEV(E42:F42)</f>
        <v>2.1920310216782993E-2</v>
      </c>
      <c r="AG42" s="86">
        <f>STDEV(G42:H42)</f>
        <v>2.8284271247461927E-3</v>
      </c>
      <c r="AH42" s="86">
        <f>STDEV(I42:J42)</f>
        <v>3.040559159102153E-2</v>
      </c>
      <c r="AI42" s="86">
        <f>STDEV(K42:L42)</f>
        <v>1.1313708498984731E-2</v>
      </c>
      <c r="AJ42" s="86">
        <f>STDEV(M42:N42)</f>
        <v>2.1213203435596446E-3</v>
      </c>
      <c r="AK42" s="86">
        <f>STDEV(O42:P42)</f>
        <v>2.1920310216782993E-2</v>
      </c>
      <c r="AL42" s="87">
        <f>STDEV(Q42:R42)</f>
        <v>9.8994949366116355E-3</v>
      </c>
      <c r="AM42" s="19"/>
    </row>
    <row r="43" spans="2:39" x14ac:dyDescent="0.25">
      <c r="B43" s="23" t="s">
        <v>32</v>
      </c>
      <c r="C43" s="60">
        <v>28.167000000000002</v>
      </c>
      <c r="D43" s="25">
        <v>28.152000000000001</v>
      </c>
      <c r="E43" s="66">
        <v>37.066000000000003</v>
      </c>
      <c r="F43" s="69">
        <v>36.978000000000002</v>
      </c>
      <c r="G43" s="66">
        <v>28.193000000000001</v>
      </c>
      <c r="H43" s="69">
        <v>28.373000000000001</v>
      </c>
      <c r="I43" s="73">
        <v>28.657</v>
      </c>
      <c r="J43" s="74">
        <v>28.238</v>
      </c>
      <c r="K43" s="73">
        <v>27.991</v>
      </c>
      <c r="L43" s="74">
        <v>27.948</v>
      </c>
      <c r="M43" s="73">
        <v>28.192</v>
      </c>
      <c r="N43" s="74">
        <v>28.359000000000002</v>
      </c>
      <c r="O43" s="73">
        <v>37.104999999999997</v>
      </c>
      <c r="P43" s="74">
        <v>36.966000000000001</v>
      </c>
      <c r="Q43" s="73">
        <v>39.375</v>
      </c>
      <c r="R43" s="74">
        <v>39.213000000000001</v>
      </c>
      <c r="U43" s="23" t="s">
        <v>32</v>
      </c>
      <c r="V43" s="88">
        <f>AVERAGE(C43:D43)</f>
        <v>28.159500000000001</v>
      </c>
      <c r="W43" s="84">
        <f>AVERAGE(E43:F43)</f>
        <v>37.022000000000006</v>
      </c>
      <c r="X43" s="84">
        <f>AVERAGE(G43:H43)</f>
        <v>28.283000000000001</v>
      </c>
      <c r="Y43" s="84">
        <f>AVERAGE(I43:J43)</f>
        <v>28.447499999999998</v>
      </c>
      <c r="Z43" s="84">
        <f>AVERAGE(K43:L43)</f>
        <v>27.9695</v>
      </c>
      <c r="AA43" s="84">
        <f>AVERAGE(M43:N43)</f>
        <v>28.275500000000001</v>
      </c>
      <c r="AB43" s="84">
        <f>AVERAGE(O43:P43)</f>
        <v>37.035499999999999</v>
      </c>
      <c r="AC43" s="89">
        <f>AVERAGE(Q43:R43)</f>
        <v>39.293999999999997</v>
      </c>
      <c r="AE43" s="88">
        <f>STDEV(C43:D43)</f>
        <v>1.0606601717798614E-2</v>
      </c>
      <c r="AF43" s="84">
        <f>STDEV(E43:F43)</f>
        <v>6.2225396744416864E-2</v>
      </c>
      <c r="AG43" s="84">
        <f>STDEV(G43:H43)</f>
        <v>0.12727922061357835</v>
      </c>
      <c r="AH43" s="84">
        <f>STDEV(I43:J43)</f>
        <v>0.29627774131716378</v>
      </c>
      <c r="AI43" s="84">
        <f>STDEV(K43:L43)</f>
        <v>3.0405591591021019E-2</v>
      </c>
      <c r="AJ43" s="84">
        <f>STDEV(M43:N43)</f>
        <v>0.11808683245815456</v>
      </c>
      <c r="AK43" s="84">
        <f>STDEV(O43:P43)</f>
        <v>9.8287842584927135E-2</v>
      </c>
      <c r="AL43" s="89">
        <f>STDEV(Q43:R43)</f>
        <v>0.11455129855222002</v>
      </c>
      <c r="AM43" s="19"/>
    </row>
    <row r="44" spans="2:39" x14ac:dyDescent="0.25">
      <c r="B44" s="23" t="s">
        <v>62</v>
      </c>
      <c r="C44" s="60"/>
      <c r="D44" s="25"/>
      <c r="E44" s="66"/>
      <c r="F44" s="69"/>
      <c r="G44" s="66">
        <v>0</v>
      </c>
      <c r="H44" s="69">
        <v>0</v>
      </c>
      <c r="I44" s="73">
        <v>0</v>
      </c>
      <c r="J44" s="74"/>
      <c r="K44" s="73">
        <v>0</v>
      </c>
      <c r="L44" s="74">
        <v>0</v>
      </c>
      <c r="M44" s="73">
        <v>0</v>
      </c>
      <c r="N44" s="74">
        <v>0</v>
      </c>
      <c r="O44" s="73">
        <v>0</v>
      </c>
      <c r="P44" s="74">
        <v>0</v>
      </c>
      <c r="Q44" s="73">
        <v>0</v>
      </c>
      <c r="R44" s="74">
        <v>0</v>
      </c>
      <c r="U44" s="23" t="s">
        <v>62</v>
      </c>
      <c r="V44" s="88"/>
      <c r="W44" s="84"/>
      <c r="X44" s="84"/>
      <c r="Y44" s="84"/>
      <c r="Z44" s="84"/>
      <c r="AA44" s="84"/>
      <c r="AB44" s="84"/>
      <c r="AC44" s="89"/>
      <c r="AE44" s="88"/>
      <c r="AF44" s="84"/>
      <c r="AG44" s="84"/>
      <c r="AH44" s="84"/>
      <c r="AI44" s="84"/>
      <c r="AJ44" s="84"/>
      <c r="AK44" s="84"/>
      <c r="AL44" s="89"/>
      <c r="AM44" s="19"/>
    </row>
    <row r="45" spans="2:39" x14ac:dyDescent="0.25">
      <c r="B45" s="23" t="s">
        <v>33</v>
      </c>
      <c r="C45" s="60">
        <v>0.19</v>
      </c>
      <c r="D45" s="25">
        <v>0</v>
      </c>
      <c r="E45" s="66">
        <v>0.253</v>
      </c>
      <c r="F45" s="69">
        <v>0.22500000000000001</v>
      </c>
      <c r="G45" s="66">
        <v>0.24299999999999999</v>
      </c>
      <c r="H45" s="69">
        <v>0.189</v>
      </c>
      <c r="I45" s="73">
        <v>0.214</v>
      </c>
      <c r="J45" s="74">
        <v>0.185</v>
      </c>
      <c r="K45" s="73">
        <v>0.24199999999999999</v>
      </c>
      <c r="L45" s="74">
        <v>0.20300000000000001</v>
      </c>
      <c r="M45" s="73">
        <v>0.248</v>
      </c>
      <c r="N45" s="74">
        <v>0.23799999999999999</v>
      </c>
      <c r="O45" s="73">
        <v>0.19</v>
      </c>
      <c r="P45" s="74">
        <v>0</v>
      </c>
      <c r="Q45" s="73">
        <v>0.38400000000000001</v>
      </c>
      <c r="R45" s="74">
        <v>3.83</v>
      </c>
      <c r="U45" s="23" t="s">
        <v>33</v>
      </c>
      <c r="V45" s="88">
        <f>AVERAGE(C45:D45)</f>
        <v>9.5000000000000001E-2</v>
      </c>
      <c r="W45" s="84" t="e">
        <f>AVERAGE(E44:F44)</f>
        <v>#DIV/0!</v>
      </c>
      <c r="X45" s="84">
        <f>AVERAGE(G45:H45)</f>
        <v>0.216</v>
      </c>
      <c r="Y45" s="84">
        <f>AVERAGE(I45:J45)</f>
        <v>0.19950000000000001</v>
      </c>
      <c r="Z45" s="84">
        <f>AVERAGE(K45:L45)</f>
        <v>0.2225</v>
      </c>
      <c r="AA45" s="84">
        <f>AVERAGE(M45:N45)</f>
        <v>0.24299999999999999</v>
      </c>
      <c r="AB45" s="84">
        <f>AVERAGE(O45:P45)</f>
        <v>9.5000000000000001E-2</v>
      </c>
      <c r="AC45" s="89">
        <f>AVERAGE(Q45:R45)</f>
        <v>2.1070000000000002</v>
      </c>
      <c r="AE45" s="88">
        <f>STDEV(C45:D45)</f>
        <v>0.13435028842544403</v>
      </c>
      <c r="AF45" s="84" t="e">
        <f>STDEV(E44:F44)</f>
        <v>#DIV/0!</v>
      </c>
      <c r="AG45" s="84">
        <f>STDEV(G45:H45)</f>
        <v>3.8183766184073577E-2</v>
      </c>
      <c r="AH45" s="84">
        <f>STDEV(I45:J45)</f>
        <v>2.0506096654409878E-2</v>
      </c>
      <c r="AI45" s="84">
        <f>STDEV(K45:L45)</f>
        <v>2.7577164466275339E-2</v>
      </c>
      <c r="AJ45" s="84">
        <f>STDEV(M45:N45)</f>
        <v>7.0710678118654814E-3</v>
      </c>
      <c r="AK45" s="84">
        <f>STDEV(O45:P45)</f>
        <v>0.13435028842544403</v>
      </c>
      <c r="AL45" s="89">
        <f>STDEV(Q45:R45)</f>
        <v>2.4366899679688427</v>
      </c>
      <c r="AM45" s="19"/>
    </row>
    <row r="46" spans="2:39" x14ac:dyDescent="0.25">
      <c r="B46" s="23" t="s">
        <v>34</v>
      </c>
      <c r="C46" s="60">
        <v>0</v>
      </c>
      <c r="D46" s="25">
        <v>0</v>
      </c>
      <c r="E46" s="66"/>
      <c r="F46" s="69">
        <v>0</v>
      </c>
      <c r="G46" s="66">
        <v>0.872</v>
      </c>
      <c r="H46" s="69">
        <v>0.91400000000000003</v>
      </c>
      <c r="I46" s="73">
        <v>1.05</v>
      </c>
      <c r="J46" s="74">
        <v>1.17</v>
      </c>
      <c r="K46" s="73">
        <v>1.635</v>
      </c>
      <c r="L46" s="74">
        <v>1.5049999999999999</v>
      </c>
      <c r="M46" s="73">
        <v>2.3730000000000002</v>
      </c>
      <c r="N46" s="74">
        <v>2.3109999999999999</v>
      </c>
      <c r="O46" s="73">
        <v>1.335</v>
      </c>
      <c r="P46" s="74">
        <v>1.0149999999999999</v>
      </c>
      <c r="Q46" s="73">
        <v>1.9379999999999999</v>
      </c>
      <c r="R46" s="74">
        <v>1.879</v>
      </c>
      <c r="U46" s="23" t="s">
        <v>34</v>
      </c>
      <c r="V46" s="88">
        <f>AVERAGE(C46:D46)</f>
        <v>0</v>
      </c>
      <c r="W46" s="84">
        <f>AVERAGE(E45:F45)</f>
        <v>0.23899999999999999</v>
      </c>
      <c r="X46" s="84">
        <f>AVERAGE(G46:H46)</f>
        <v>0.89300000000000002</v>
      </c>
      <c r="Y46" s="84">
        <f>AVERAGE(I46:J46)</f>
        <v>1.1099999999999999</v>
      </c>
      <c r="Z46" s="84">
        <f>AVERAGE(K46:L46)</f>
        <v>1.5699999999999998</v>
      </c>
      <c r="AA46" s="84">
        <f>AVERAGE(M46:N46)</f>
        <v>2.3420000000000001</v>
      </c>
      <c r="AB46" s="84">
        <f>AVERAGE(O46:P46)</f>
        <v>1.1749999999999998</v>
      </c>
      <c r="AC46" s="89">
        <f>AVERAGE(Q46:R46)</f>
        <v>1.9085000000000001</v>
      </c>
      <c r="AE46" s="88">
        <f>STDEV(C46:D46)</f>
        <v>0</v>
      </c>
      <c r="AF46" s="84">
        <f>STDEV(E45:F45)</f>
        <v>1.9798989873223326E-2</v>
      </c>
      <c r="AG46" s="84">
        <f>STDEV(G46:H46)</f>
        <v>2.9698484809835023E-2</v>
      </c>
      <c r="AH46" s="84">
        <f>STDEV(I46:J46)</f>
        <v>8.4852813742385624E-2</v>
      </c>
      <c r="AI46" s="84">
        <f>STDEV(K46:L46)</f>
        <v>9.1923881554251255E-2</v>
      </c>
      <c r="AJ46" s="84">
        <f>STDEV(M46:N46)</f>
        <v>4.3840620433566145E-2</v>
      </c>
      <c r="AK46" s="84">
        <f>STDEV(O46:P46)</f>
        <v>0.22627416997969649</v>
      </c>
      <c r="AL46" s="89">
        <f>STDEV(Q46:R46)</f>
        <v>4.171930009000626E-2</v>
      </c>
      <c r="AM46" s="19"/>
    </row>
    <row r="47" spans="2:39" ht="15.75" thickBot="1" x14ac:dyDescent="0.3">
      <c r="B47" s="21" t="s">
        <v>35</v>
      </c>
      <c r="C47" s="62">
        <v>47.854999999999997</v>
      </c>
      <c r="D47" s="63">
        <v>47.866999999999997</v>
      </c>
      <c r="E47" s="67">
        <v>49.082999999999998</v>
      </c>
      <c r="F47" s="70">
        <v>48.930999999999997</v>
      </c>
      <c r="G47" s="67">
        <v>48.017000000000003</v>
      </c>
      <c r="H47" s="70">
        <v>47.847000000000001</v>
      </c>
      <c r="I47" s="75">
        <v>47.793999999999997</v>
      </c>
      <c r="J47" s="76">
        <v>47.54</v>
      </c>
      <c r="K47" s="75">
        <v>47.95</v>
      </c>
      <c r="L47" s="76">
        <v>47.469000000000001</v>
      </c>
      <c r="M47" s="75">
        <v>48.058</v>
      </c>
      <c r="N47" s="76">
        <v>47.959000000000003</v>
      </c>
      <c r="O47" s="75">
        <v>49.792000000000002</v>
      </c>
      <c r="P47" s="76">
        <v>48.755000000000003</v>
      </c>
      <c r="Q47" s="75">
        <v>49.023000000000003</v>
      </c>
      <c r="R47" s="76">
        <v>48.973999999999997</v>
      </c>
      <c r="U47" s="21" t="s">
        <v>35</v>
      </c>
      <c r="V47" s="90">
        <f>AVERAGE(C47:D47)</f>
        <v>47.860999999999997</v>
      </c>
      <c r="W47" s="91">
        <f>AVERAGE(E46:F46)</f>
        <v>0</v>
      </c>
      <c r="X47" s="91">
        <f>AVERAGE(G47:H47)</f>
        <v>47.932000000000002</v>
      </c>
      <c r="Y47" s="91">
        <f>AVERAGE(I47:J47)</f>
        <v>47.667000000000002</v>
      </c>
      <c r="Z47" s="91">
        <f>AVERAGE(K47:L47)</f>
        <v>47.709500000000006</v>
      </c>
      <c r="AA47" s="91">
        <f>AVERAGE(M47:N47)</f>
        <v>48.008499999999998</v>
      </c>
      <c r="AB47" s="91">
        <f>AVERAGE(O47:P47)</f>
        <v>49.273499999999999</v>
      </c>
      <c r="AC47" s="92">
        <f>AVERAGE(Q47:R47)</f>
        <v>48.9985</v>
      </c>
      <c r="AE47" s="90">
        <f>STDEV(C47:D47)</f>
        <v>8.4852813742388924E-3</v>
      </c>
      <c r="AF47" s="91" t="e">
        <f>STDEV(E46:F46)</f>
        <v>#DIV/0!</v>
      </c>
      <c r="AG47" s="91">
        <f>STDEV(G47:H47)</f>
        <v>0.12020815280171429</v>
      </c>
      <c r="AH47" s="91">
        <f>STDEV(I47:J47)</f>
        <v>0.17960512242138152</v>
      </c>
      <c r="AI47" s="91">
        <f>STDEV(K47:L47)</f>
        <v>0.34011836175073051</v>
      </c>
      <c r="AJ47" s="91">
        <f>STDEV(M47:N47)</f>
        <v>7.0003571337465834E-2</v>
      </c>
      <c r="AK47" s="91">
        <f>STDEV(O47:P47)</f>
        <v>0.7332697320904491</v>
      </c>
      <c r="AL47" s="92">
        <f>STDEV(Q47:R47)</f>
        <v>3.4648232278145494E-2</v>
      </c>
      <c r="AM47" s="19"/>
    </row>
    <row r="48" spans="2:39" x14ac:dyDescent="0.25">
      <c r="F48" s="15"/>
      <c r="G48" s="15"/>
      <c r="H48" s="15"/>
    </row>
    <row r="50" spans="2:39" ht="15.75" thickBot="1" x14ac:dyDescent="0.3"/>
    <row r="51" spans="2:39" ht="21.75" thickBot="1" x14ac:dyDescent="0.4">
      <c r="C51" s="181" t="s">
        <v>78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3"/>
      <c r="V51" s="181" t="s">
        <v>78</v>
      </c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3"/>
      <c r="AM51" s="93"/>
    </row>
    <row r="52" spans="2:39" ht="30.75" thickBot="1" x14ac:dyDescent="0.3">
      <c r="C52" s="28" t="s">
        <v>37</v>
      </c>
      <c r="D52" s="30" t="s">
        <v>38</v>
      </c>
      <c r="E52" s="28" t="s">
        <v>76</v>
      </c>
      <c r="F52" s="30" t="s">
        <v>64</v>
      </c>
      <c r="G52" s="28" t="s">
        <v>39</v>
      </c>
      <c r="H52" s="30" t="s">
        <v>40</v>
      </c>
      <c r="I52" s="28" t="s">
        <v>41</v>
      </c>
      <c r="J52" s="30" t="s">
        <v>42</v>
      </c>
      <c r="K52" s="28" t="s">
        <v>43</v>
      </c>
      <c r="L52" s="30" t="s">
        <v>44</v>
      </c>
      <c r="M52" s="28" t="s">
        <v>45</v>
      </c>
      <c r="N52" s="30" t="s">
        <v>46</v>
      </c>
      <c r="O52" s="28" t="s">
        <v>49</v>
      </c>
      <c r="P52" s="30" t="s">
        <v>50</v>
      </c>
      <c r="Q52" s="29" t="s">
        <v>47</v>
      </c>
      <c r="R52" s="30" t="s">
        <v>48</v>
      </c>
      <c r="V52" s="189" t="s">
        <v>80</v>
      </c>
      <c r="W52" s="190"/>
      <c r="X52" s="190"/>
      <c r="Y52" s="190"/>
      <c r="Z52" s="190"/>
      <c r="AA52" s="190"/>
      <c r="AB52" s="190"/>
      <c r="AC52" s="191"/>
      <c r="AE52" s="189" t="s">
        <v>81</v>
      </c>
      <c r="AF52" s="190"/>
      <c r="AG52" s="190"/>
      <c r="AH52" s="190"/>
      <c r="AI52" s="190"/>
      <c r="AJ52" s="190"/>
      <c r="AK52" s="190"/>
      <c r="AL52" s="191"/>
      <c r="AM52" s="94"/>
    </row>
    <row r="53" spans="2:39" ht="30" x14ac:dyDescent="0.25">
      <c r="C53" s="184" t="s">
        <v>57</v>
      </c>
      <c r="D53" s="185"/>
      <c r="E53" s="184" t="s">
        <v>57</v>
      </c>
      <c r="F53" s="185"/>
      <c r="G53" s="184" t="s">
        <v>57</v>
      </c>
      <c r="H53" s="185"/>
      <c r="I53" s="184" t="s">
        <v>57</v>
      </c>
      <c r="J53" s="185"/>
      <c r="K53" s="184" t="s">
        <v>57</v>
      </c>
      <c r="L53" s="185"/>
      <c r="M53" s="184" t="s">
        <v>57</v>
      </c>
      <c r="N53" s="185"/>
      <c r="O53" s="184" t="s">
        <v>57</v>
      </c>
      <c r="P53" s="185"/>
      <c r="Q53" s="184" t="s">
        <v>57</v>
      </c>
      <c r="R53" s="185"/>
      <c r="V53" s="78" t="s">
        <v>51</v>
      </c>
      <c r="W53" s="79" t="s">
        <v>77</v>
      </c>
      <c r="X53" s="79" t="s">
        <v>18</v>
      </c>
      <c r="Y53" s="79" t="s">
        <v>19</v>
      </c>
      <c r="Z53" s="79" t="s">
        <v>79</v>
      </c>
      <c r="AA53" s="79" t="s">
        <v>21</v>
      </c>
      <c r="AB53" s="79" t="s">
        <v>22</v>
      </c>
      <c r="AC53" s="80" t="s">
        <v>66</v>
      </c>
      <c r="AE53" s="78" t="s">
        <v>51</v>
      </c>
      <c r="AF53" s="79" t="s">
        <v>77</v>
      </c>
      <c r="AG53" s="79" t="s">
        <v>18</v>
      </c>
      <c r="AH53" s="79" t="s">
        <v>19</v>
      </c>
      <c r="AI53" s="79" t="s">
        <v>79</v>
      </c>
      <c r="AJ53" s="79" t="s">
        <v>21</v>
      </c>
      <c r="AK53" s="79" t="s">
        <v>22</v>
      </c>
      <c r="AL53" s="80" t="s">
        <v>66</v>
      </c>
      <c r="AM53" s="24"/>
    </row>
    <row r="54" spans="2:39" ht="15.75" thickBot="1" x14ac:dyDescent="0.3">
      <c r="C54" s="31" t="s">
        <v>58</v>
      </c>
      <c r="D54" s="32" t="s">
        <v>59</v>
      </c>
      <c r="E54" s="31" t="s">
        <v>58</v>
      </c>
      <c r="F54" s="32" t="s">
        <v>59</v>
      </c>
      <c r="G54" s="31" t="s">
        <v>58</v>
      </c>
      <c r="H54" s="32" t="s">
        <v>59</v>
      </c>
      <c r="I54" s="31" t="s">
        <v>58</v>
      </c>
      <c r="J54" s="32" t="s">
        <v>59</v>
      </c>
      <c r="K54" s="31" t="s">
        <v>58</v>
      </c>
      <c r="L54" s="32" t="s">
        <v>59</v>
      </c>
      <c r="M54" s="31" t="s">
        <v>58</v>
      </c>
      <c r="N54" s="32" t="s">
        <v>59</v>
      </c>
      <c r="O54" s="31" t="s">
        <v>58</v>
      </c>
      <c r="P54" s="32" t="s">
        <v>59</v>
      </c>
      <c r="Q54" s="31" t="s">
        <v>58</v>
      </c>
      <c r="R54" s="32" t="s">
        <v>59</v>
      </c>
      <c r="V54" s="31" t="s">
        <v>57</v>
      </c>
      <c r="W54" s="81" t="s">
        <v>57</v>
      </c>
      <c r="X54" s="81" t="s">
        <v>57</v>
      </c>
      <c r="Y54" s="81" t="s">
        <v>57</v>
      </c>
      <c r="Z54" s="81" t="s">
        <v>57</v>
      </c>
      <c r="AA54" s="81" t="s">
        <v>57</v>
      </c>
      <c r="AB54" s="81" t="s">
        <v>57</v>
      </c>
      <c r="AC54" s="32" t="s">
        <v>57</v>
      </c>
      <c r="AE54" s="82" t="s">
        <v>57</v>
      </c>
      <c r="AF54" s="81" t="s">
        <v>57</v>
      </c>
      <c r="AG54" s="77" t="s">
        <v>57</v>
      </c>
      <c r="AH54" s="77" t="s">
        <v>57</v>
      </c>
      <c r="AI54" s="77" t="s">
        <v>57</v>
      </c>
      <c r="AJ54" s="77" t="s">
        <v>57</v>
      </c>
      <c r="AK54" s="77" t="s">
        <v>57</v>
      </c>
      <c r="AL54" s="83" t="s">
        <v>57</v>
      </c>
      <c r="AM54" s="77"/>
    </row>
    <row r="55" spans="2:39" x14ac:dyDescent="0.25">
      <c r="B55" s="22" t="s">
        <v>31</v>
      </c>
      <c r="C55" s="57">
        <v>0.47899999999999998</v>
      </c>
      <c r="D55" s="58">
        <v>0.43099999999999999</v>
      </c>
      <c r="E55" s="65">
        <v>0.45600000000000002</v>
      </c>
      <c r="F55" s="68">
        <v>0.442</v>
      </c>
      <c r="G55" s="65">
        <v>0.44500000000000001</v>
      </c>
      <c r="H55" s="68">
        <v>0.45500000000000002</v>
      </c>
      <c r="I55" s="71">
        <v>0.45100000000000001</v>
      </c>
      <c r="J55" s="72">
        <v>0.436</v>
      </c>
      <c r="K55" s="71">
        <v>0.443</v>
      </c>
      <c r="L55" s="72">
        <v>0.45700000000000002</v>
      </c>
      <c r="M55" s="71">
        <v>0.45400000000000001</v>
      </c>
      <c r="N55" s="72">
        <v>0.45100000000000001</v>
      </c>
      <c r="O55" s="71">
        <v>0.436</v>
      </c>
      <c r="P55" s="72">
        <v>0.443</v>
      </c>
      <c r="Q55" s="71">
        <v>0.43</v>
      </c>
      <c r="R55" s="72">
        <v>0.42099999999999999</v>
      </c>
      <c r="U55" s="22" t="s">
        <v>31</v>
      </c>
      <c r="V55" s="85">
        <f>AVERAGE(C55:D55)</f>
        <v>0.45499999999999996</v>
      </c>
      <c r="W55" s="86">
        <f>AVERAGE(E55:F55)</f>
        <v>0.44900000000000001</v>
      </c>
      <c r="X55" s="86">
        <f>AVERAGE(G55:H55)</f>
        <v>0.45</v>
      </c>
      <c r="Y55" s="86">
        <f>AVERAGE(I55:J55)</f>
        <v>0.44350000000000001</v>
      </c>
      <c r="Z55" s="86">
        <f>AVERAGE(K55:L55)</f>
        <v>0.45</v>
      </c>
      <c r="AA55" s="86">
        <f>AVERAGE(M55:N55)</f>
        <v>0.45250000000000001</v>
      </c>
      <c r="AB55" s="86">
        <f>AVERAGE(O55:P55)</f>
        <v>0.4395</v>
      </c>
      <c r="AC55" s="87">
        <f>AVERAGE(Q55:R55)</f>
        <v>0.42549999999999999</v>
      </c>
      <c r="AE55" s="85">
        <f>STDEV(C55:D55)</f>
        <v>3.3941125496954272E-2</v>
      </c>
      <c r="AF55" s="86">
        <f>STDEV(E55:F55)</f>
        <v>9.8994949366116736E-3</v>
      </c>
      <c r="AG55" s="86">
        <f>STDEV(G55:H55)</f>
        <v>7.0710678118654814E-3</v>
      </c>
      <c r="AH55" s="86">
        <f>STDEV(I55:J55)</f>
        <v>1.0606601717798222E-2</v>
      </c>
      <c r="AI55" s="86">
        <f>STDEV(K55:L55)</f>
        <v>9.8994949366116736E-3</v>
      </c>
      <c r="AJ55" s="86">
        <f>STDEV(M55:N55)</f>
        <v>2.1213203435596446E-3</v>
      </c>
      <c r="AK55" s="86">
        <f>STDEV(O55:P55)</f>
        <v>4.9497474683058368E-3</v>
      </c>
      <c r="AL55" s="87">
        <f>STDEV(Q55:R55)</f>
        <v>6.3639610306789329E-3</v>
      </c>
      <c r="AM55" s="19"/>
    </row>
    <row r="56" spans="2:39" x14ac:dyDescent="0.25">
      <c r="B56" s="23" t="s">
        <v>32</v>
      </c>
      <c r="C56" s="60">
        <v>28.122</v>
      </c>
      <c r="D56" s="25">
        <v>28.071999999999999</v>
      </c>
      <c r="E56" s="66">
        <v>29.215</v>
      </c>
      <c r="F56" s="69">
        <v>29.143000000000001</v>
      </c>
      <c r="G56" s="66">
        <v>28.039000000000001</v>
      </c>
      <c r="H56" s="69">
        <v>28.018999999999998</v>
      </c>
      <c r="I56" s="73">
        <v>28.657</v>
      </c>
      <c r="J56" s="74">
        <v>28.11</v>
      </c>
      <c r="K56" s="73">
        <v>27.952999999999999</v>
      </c>
      <c r="L56" s="74">
        <v>28.004000000000001</v>
      </c>
      <c r="M56" s="46">
        <v>28.030999999999999</v>
      </c>
      <c r="N56" s="74">
        <v>27.983000000000001</v>
      </c>
      <c r="O56" s="73">
        <v>29.042999999999999</v>
      </c>
      <c r="P56" s="74">
        <v>29.055</v>
      </c>
      <c r="Q56" s="73">
        <v>29.155999999999999</v>
      </c>
      <c r="R56" s="74">
        <v>29.146999999999998</v>
      </c>
      <c r="U56" s="23" t="s">
        <v>32</v>
      </c>
      <c r="V56" s="88">
        <f>AVERAGE(C56:D56)</f>
        <v>28.097000000000001</v>
      </c>
      <c r="W56" s="84">
        <f>AVERAGE(E56:F56)</f>
        <v>29.179000000000002</v>
      </c>
      <c r="X56" s="84">
        <f>AVERAGE(G56:H56)</f>
        <v>28.029</v>
      </c>
      <c r="Y56" s="84">
        <f>AVERAGE(I56:J56)</f>
        <v>28.383499999999998</v>
      </c>
      <c r="Z56" s="84">
        <f>AVERAGE(K56:L56)</f>
        <v>27.9785</v>
      </c>
      <c r="AA56" s="84">
        <f>AVERAGE(M56:N56)</f>
        <v>28.006999999999998</v>
      </c>
      <c r="AB56" s="84">
        <f>AVERAGE(O56:P56)</f>
        <v>29.048999999999999</v>
      </c>
      <c r="AC56" s="89">
        <f>AVERAGE(Q56:R56)</f>
        <v>29.151499999999999</v>
      </c>
      <c r="AE56" s="88">
        <f>STDEV(C56:D56)</f>
        <v>3.5355339059327882E-2</v>
      </c>
      <c r="AF56" s="84">
        <f>STDEV(E56:F56)</f>
        <v>5.0911688245430839E-2</v>
      </c>
      <c r="AG56" s="84">
        <f>STDEV(G56:H56)</f>
        <v>1.4142135623733162E-2</v>
      </c>
      <c r="AH56" s="84">
        <f>STDEV(I56:J56)</f>
        <v>0.38678740930904193</v>
      </c>
      <c r="AI56" s="84">
        <f>STDEV(K56:L56)</f>
        <v>3.6062445840515295E-2</v>
      </c>
      <c r="AJ56" s="84">
        <f>STDEV(M56:N56)</f>
        <v>3.3941125496953058E-2</v>
      </c>
      <c r="AK56" s="84">
        <f>STDEV(O56:P56)</f>
        <v>8.4852813742388924E-3</v>
      </c>
      <c r="AL56" s="89">
        <f>STDEV(Q56:R56)</f>
        <v>6.3639610306791689E-3</v>
      </c>
      <c r="AM56" s="19"/>
    </row>
    <row r="57" spans="2:39" x14ac:dyDescent="0.25">
      <c r="B57" s="23" t="s">
        <v>62</v>
      </c>
      <c r="C57" s="60">
        <v>0</v>
      </c>
      <c r="D57" s="25">
        <v>0</v>
      </c>
      <c r="E57" s="66">
        <v>0</v>
      </c>
      <c r="F57" s="69">
        <v>0</v>
      </c>
      <c r="G57" s="66">
        <v>0</v>
      </c>
      <c r="H57" s="69">
        <v>0</v>
      </c>
      <c r="I57" s="73">
        <v>0</v>
      </c>
      <c r="J57" s="74">
        <v>0</v>
      </c>
      <c r="K57" s="73">
        <v>0</v>
      </c>
      <c r="L57" s="74">
        <v>0</v>
      </c>
      <c r="M57" s="73">
        <v>0</v>
      </c>
      <c r="N57" s="74">
        <v>0</v>
      </c>
      <c r="O57" s="73">
        <v>0</v>
      </c>
      <c r="P57" s="74">
        <v>0</v>
      </c>
      <c r="Q57" s="73">
        <v>0</v>
      </c>
      <c r="R57" s="74">
        <v>0</v>
      </c>
      <c r="U57" s="23" t="s">
        <v>62</v>
      </c>
      <c r="V57" s="88"/>
      <c r="W57" s="84"/>
      <c r="X57" s="84"/>
      <c r="Y57" s="84"/>
      <c r="Z57" s="84"/>
      <c r="AA57" s="84"/>
      <c r="AB57" s="84"/>
      <c r="AC57" s="89"/>
      <c r="AE57" s="88"/>
      <c r="AF57" s="84"/>
      <c r="AG57" s="84"/>
      <c r="AH57" s="84"/>
      <c r="AI57" s="84"/>
      <c r="AJ57" s="84"/>
      <c r="AK57" s="84"/>
      <c r="AL57" s="89"/>
      <c r="AM57" s="19"/>
    </row>
    <row r="58" spans="2:39" x14ac:dyDescent="0.25">
      <c r="B58" s="23" t="s">
        <v>33</v>
      </c>
      <c r="C58" s="60">
        <v>0</v>
      </c>
      <c r="D58" s="25">
        <v>0</v>
      </c>
      <c r="E58" s="66">
        <v>0</v>
      </c>
      <c r="F58" s="69">
        <v>0</v>
      </c>
      <c r="G58" s="66">
        <v>1.107</v>
      </c>
      <c r="H58" s="69">
        <v>1.056</v>
      </c>
      <c r="I58" s="73">
        <v>0.71399999999999997</v>
      </c>
      <c r="J58" s="74">
        <v>0.68400000000000005</v>
      </c>
      <c r="K58" s="73">
        <v>0.45400000000000001</v>
      </c>
      <c r="L58" s="74">
        <v>0.497</v>
      </c>
      <c r="M58" s="73">
        <v>0.495</v>
      </c>
      <c r="N58" s="74">
        <v>0.51500000000000001</v>
      </c>
      <c r="O58" s="73">
        <v>0</v>
      </c>
      <c r="P58" s="74">
        <v>0</v>
      </c>
      <c r="Q58" s="73">
        <v>0</v>
      </c>
      <c r="R58" s="74">
        <v>0</v>
      </c>
      <c r="U58" s="23" t="s">
        <v>33</v>
      </c>
      <c r="V58" s="88">
        <f>AVERAGE(C58:D58)</f>
        <v>0</v>
      </c>
      <c r="W58" s="84">
        <f>AVERAGE(E57:F57)</f>
        <v>0</v>
      </c>
      <c r="X58" s="84">
        <f>AVERAGE(G58:H58)</f>
        <v>1.0815000000000001</v>
      </c>
      <c r="Y58" s="84">
        <f>AVERAGE(I58:J58)</f>
        <v>0.69900000000000007</v>
      </c>
      <c r="Z58" s="84">
        <f>AVERAGE(K58:L58)</f>
        <v>0.47550000000000003</v>
      </c>
      <c r="AA58" s="84">
        <f>AVERAGE(M58:N58)</f>
        <v>0.505</v>
      </c>
      <c r="AB58" s="84">
        <f>AVERAGE(O58:P58)</f>
        <v>0</v>
      </c>
      <c r="AC58" s="89">
        <f>AVERAGE(Q58:R58)</f>
        <v>0</v>
      </c>
      <c r="AE58" s="88">
        <f>STDEV(C58:D58)</f>
        <v>0</v>
      </c>
      <c r="AF58" s="84">
        <f>STDEV(E57:F57)</f>
        <v>0</v>
      </c>
      <c r="AG58" s="84">
        <f>STDEV(G58:H58)</f>
        <v>3.6062445840513872E-2</v>
      </c>
      <c r="AH58" s="84">
        <f>STDEV(I58:J58)</f>
        <v>2.1213203435596368E-2</v>
      </c>
      <c r="AI58" s="84">
        <f>STDEV(K58:L58)</f>
        <v>3.040559159102153E-2</v>
      </c>
      <c r="AJ58" s="84">
        <f>STDEV(M58:N58)</f>
        <v>1.4142135623730963E-2</v>
      </c>
      <c r="AK58" s="84">
        <f>STDEV(O58:P58)</f>
        <v>0</v>
      </c>
      <c r="AL58" s="89">
        <f>STDEV(Q58:R58)</f>
        <v>0</v>
      </c>
      <c r="AM58" s="19"/>
    </row>
    <row r="59" spans="2:39" x14ac:dyDescent="0.25">
      <c r="B59" s="23" t="s">
        <v>34</v>
      </c>
      <c r="C59" s="60">
        <v>0</v>
      </c>
      <c r="D59" s="25">
        <v>0</v>
      </c>
      <c r="E59" s="66">
        <v>0</v>
      </c>
      <c r="F59" s="69">
        <v>0</v>
      </c>
      <c r="G59" s="66">
        <v>0.86</v>
      </c>
      <c r="H59" s="69">
        <v>0.96899999999999997</v>
      </c>
      <c r="I59" s="73">
        <v>0.82399999999999995</v>
      </c>
      <c r="J59" s="74">
        <v>0</v>
      </c>
      <c r="K59" s="73">
        <v>0.745</v>
      </c>
      <c r="L59" s="74">
        <v>0.85799999999999998</v>
      </c>
      <c r="M59" s="73">
        <v>0.91500000000000004</v>
      </c>
      <c r="N59" s="74">
        <v>0.94299999999999995</v>
      </c>
      <c r="O59" s="73">
        <v>1.169</v>
      </c>
      <c r="P59" s="74">
        <v>1.1879999999999999</v>
      </c>
      <c r="Q59" s="73">
        <v>1.1180000000000001</v>
      </c>
      <c r="R59" s="74">
        <v>1.071</v>
      </c>
      <c r="U59" s="23" t="s">
        <v>34</v>
      </c>
      <c r="V59" s="88">
        <f>AVERAGE(C59:D59)</f>
        <v>0</v>
      </c>
      <c r="W59" s="84">
        <f>AVERAGE(E58:F58)</f>
        <v>0</v>
      </c>
      <c r="X59" s="84">
        <f>AVERAGE(G59:H59)</f>
        <v>0.91449999999999998</v>
      </c>
      <c r="Y59" s="84">
        <f>AVERAGE(I59:J59)</f>
        <v>0.41199999999999998</v>
      </c>
      <c r="Z59" s="84">
        <f>AVERAGE(K59:L59)</f>
        <v>0.80149999999999999</v>
      </c>
      <c r="AA59" s="84">
        <f>AVERAGE(M59:N59)</f>
        <v>0.92900000000000005</v>
      </c>
      <c r="AB59" s="84">
        <f>AVERAGE(O59:P59)</f>
        <v>1.1785000000000001</v>
      </c>
      <c r="AC59" s="89">
        <f>AVERAGE(Q59:R59)</f>
        <v>1.0945</v>
      </c>
      <c r="AE59" s="88">
        <f>STDEV(C59:D59)</f>
        <v>0</v>
      </c>
      <c r="AF59" s="84">
        <f>STDEV(E58:F58)</f>
        <v>0</v>
      </c>
      <c r="AG59" s="84">
        <f>STDEV(G59:H59)</f>
        <v>7.7074639149333671E-2</v>
      </c>
      <c r="AH59" s="84">
        <f>STDEV(I59:J59)</f>
        <v>0.58265598769771509</v>
      </c>
      <c r="AI59" s="84">
        <f>STDEV(K59:L59)</f>
        <v>7.9903066274079865E-2</v>
      </c>
      <c r="AJ59" s="84">
        <f>STDEV(M59:N59)</f>
        <v>1.9798989873223271E-2</v>
      </c>
      <c r="AK59" s="84">
        <f>STDEV(O59:P59)</f>
        <v>1.3435028842544336E-2</v>
      </c>
      <c r="AL59" s="89">
        <f>STDEV(Q59:R59)</f>
        <v>3.3234018715767845E-2</v>
      </c>
      <c r="AM59" s="19"/>
    </row>
    <row r="60" spans="2:39" ht="15.75" thickBot="1" x14ac:dyDescent="0.3">
      <c r="B60" s="21" t="s">
        <v>35</v>
      </c>
      <c r="C60" s="62">
        <v>49.139000000000003</v>
      </c>
      <c r="D60" s="63">
        <v>49.396000000000001</v>
      </c>
      <c r="E60" s="67">
        <v>50.095999999999997</v>
      </c>
      <c r="F60" s="70">
        <v>50.194000000000003</v>
      </c>
      <c r="G60" s="67">
        <v>49.033000000000001</v>
      </c>
      <c r="H60" s="70">
        <v>48.999000000000002</v>
      </c>
      <c r="I60" s="75">
        <v>49.131999999999998</v>
      </c>
      <c r="J60" s="76">
        <v>49.164999999999999</v>
      </c>
      <c r="K60" s="75">
        <v>49.543999999999997</v>
      </c>
      <c r="L60" s="76">
        <v>49.558</v>
      </c>
      <c r="M60" s="75">
        <v>49.256</v>
      </c>
      <c r="N60" s="76">
        <v>49.32</v>
      </c>
      <c r="O60" s="75">
        <v>50.128</v>
      </c>
      <c r="P60" s="76">
        <v>50.052</v>
      </c>
      <c r="Q60" s="75">
        <v>49.91</v>
      </c>
      <c r="R60" s="76">
        <v>50.131999999999998</v>
      </c>
      <c r="U60" s="21" t="s">
        <v>35</v>
      </c>
      <c r="V60" s="90">
        <f>AVERAGE(C60:D60)</f>
        <v>49.267499999999998</v>
      </c>
      <c r="W60" s="91">
        <f>AVERAGE(E59:F59)</f>
        <v>0</v>
      </c>
      <c r="X60" s="91">
        <f>AVERAGE(G60:H60)</f>
        <v>49.016000000000005</v>
      </c>
      <c r="Y60" s="91">
        <f>AVERAGE(I60:J60)</f>
        <v>49.148499999999999</v>
      </c>
      <c r="Z60" s="91">
        <f>AVERAGE(K60:L60)</f>
        <v>49.551000000000002</v>
      </c>
      <c r="AA60" s="91">
        <f>AVERAGE(M60:N60)</f>
        <v>49.287999999999997</v>
      </c>
      <c r="AB60" s="91">
        <f>AVERAGE(O60:P60)</f>
        <v>50.09</v>
      </c>
      <c r="AC60" s="92">
        <f>AVERAGE(Q60:R60)</f>
        <v>50.021000000000001</v>
      </c>
      <c r="AE60" s="90">
        <f>STDEV(C60:D60)</f>
        <v>0.18172644276494121</v>
      </c>
      <c r="AF60" s="91">
        <f>STDEV(E59:F59)</f>
        <v>0</v>
      </c>
      <c r="AG60" s="91">
        <f>STDEV(G60:H60)</f>
        <v>2.4041630560341854E-2</v>
      </c>
      <c r="AH60" s="91">
        <f>STDEV(I60:J60)</f>
        <v>2.3334523779156954E-2</v>
      </c>
      <c r="AI60" s="91">
        <f>STDEV(K60:L60)</f>
        <v>9.8994949366137154E-3</v>
      </c>
      <c r="AJ60" s="91">
        <f>STDEV(M60:N60)</f>
        <v>4.5254833995939082E-2</v>
      </c>
      <c r="AK60" s="91">
        <f>STDEV(O60:P60)</f>
        <v>5.3740115370177977E-2</v>
      </c>
      <c r="AL60" s="92">
        <f>STDEV(Q60:R60)</f>
        <v>0.15697770542341447</v>
      </c>
      <c r="AM60" s="19"/>
    </row>
    <row r="62" spans="2:39" ht="15.75" thickBot="1" x14ac:dyDescent="0.3"/>
    <row r="63" spans="2:39" ht="21.75" thickBot="1" x14ac:dyDescent="0.4">
      <c r="C63" s="181" t="s">
        <v>103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3"/>
    </row>
    <row r="64" spans="2:39" ht="30.75" thickBot="1" x14ac:dyDescent="0.3">
      <c r="C64" s="28" t="s">
        <v>37</v>
      </c>
      <c r="D64" s="30" t="s">
        <v>38</v>
      </c>
      <c r="E64" s="28" t="s">
        <v>76</v>
      </c>
      <c r="F64" s="30" t="s">
        <v>64</v>
      </c>
      <c r="G64" s="28" t="s">
        <v>39</v>
      </c>
      <c r="H64" s="30" t="s">
        <v>40</v>
      </c>
      <c r="I64" s="28" t="s">
        <v>41</v>
      </c>
      <c r="J64" s="30" t="s">
        <v>42</v>
      </c>
      <c r="K64" s="28" t="s">
        <v>43</v>
      </c>
      <c r="L64" s="30" t="s">
        <v>44</v>
      </c>
      <c r="M64" s="28" t="s">
        <v>45</v>
      </c>
      <c r="N64" s="30" t="s">
        <v>46</v>
      </c>
      <c r="O64" s="28" t="s">
        <v>49</v>
      </c>
      <c r="P64" s="30" t="s">
        <v>50</v>
      </c>
      <c r="Q64" s="29" t="s">
        <v>47</v>
      </c>
      <c r="R64" s="30" t="s">
        <v>48</v>
      </c>
    </row>
    <row r="65" spans="2:18" x14ac:dyDescent="0.25">
      <c r="C65" s="184" t="s">
        <v>57</v>
      </c>
      <c r="D65" s="185"/>
      <c r="E65" s="184" t="s">
        <v>57</v>
      </c>
      <c r="F65" s="185"/>
      <c r="G65" s="184" t="s">
        <v>57</v>
      </c>
      <c r="H65" s="185"/>
      <c r="I65" s="184" t="s">
        <v>57</v>
      </c>
      <c r="J65" s="185"/>
      <c r="K65" s="184" t="s">
        <v>57</v>
      </c>
      <c r="L65" s="185"/>
      <c r="M65" s="184" t="s">
        <v>57</v>
      </c>
      <c r="N65" s="185"/>
      <c r="O65" s="184" t="s">
        <v>57</v>
      </c>
      <c r="P65" s="185"/>
      <c r="Q65" s="184" t="s">
        <v>57</v>
      </c>
      <c r="R65" s="185"/>
    </row>
    <row r="66" spans="2:18" ht="15.75" thickBot="1" x14ac:dyDescent="0.3">
      <c r="C66" s="31" t="s">
        <v>58</v>
      </c>
      <c r="D66" s="32" t="s">
        <v>59</v>
      </c>
      <c r="E66" s="31" t="s">
        <v>58</v>
      </c>
      <c r="F66" s="32" t="s">
        <v>59</v>
      </c>
      <c r="G66" s="31" t="s">
        <v>58</v>
      </c>
      <c r="H66" s="32" t="s">
        <v>59</v>
      </c>
      <c r="I66" s="31" t="s">
        <v>58</v>
      </c>
      <c r="J66" s="32" t="s">
        <v>59</v>
      </c>
      <c r="K66" s="31" t="s">
        <v>58</v>
      </c>
      <c r="L66" s="32" t="s">
        <v>59</v>
      </c>
      <c r="M66" s="31" t="s">
        <v>58</v>
      </c>
      <c r="N66" s="32" t="s">
        <v>59</v>
      </c>
      <c r="O66" s="31" t="s">
        <v>58</v>
      </c>
      <c r="P66" s="32" t="s">
        <v>59</v>
      </c>
      <c r="Q66" s="31" t="s">
        <v>58</v>
      </c>
      <c r="R66" s="32" t="s">
        <v>59</v>
      </c>
    </row>
    <row r="67" spans="2:18" x14ac:dyDescent="0.25">
      <c r="B67" s="22" t="s">
        <v>31</v>
      </c>
      <c r="C67" s="71">
        <v>0.312</v>
      </c>
      <c r="D67" s="72"/>
      <c r="E67" s="71">
        <v>0.313</v>
      </c>
      <c r="F67" s="72">
        <v>0.373</v>
      </c>
      <c r="G67" s="71">
        <v>0.433</v>
      </c>
      <c r="H67" s="72">
        <v>0.44500000000000001</v>
      </c>
      <c r="I67" s="71">
        <v>0.46100000000000002</v>
      </c>
      <c r="J67" s="72">
        <v>0.435</v>
      </c>
      <c r="K67" s="71">
        <v>0.42399999999999999</v>
      </c>
      <c r="L67" s="72">
        <v>0.442</v>
      </c>
      <c r="M67" s="71">
        <v>0.45300000000000001</v>
      </c>
      <c r="N67" s="72">
        <v>0.46300000000000002</v>
      </c>
      <c r="O67" s="71">
        <v>0.43</v>
      </c>
      <c r="P67" s="72">
        <v>0.39500000000000002</v>
      </c>
      <c r="Q67" s="71">
        <v>0.439</v>
      </c>
      <c r="R67" s="72">
        <v>0.45100000000000001</v>
      </c>
    </row>
    <row r="68" spans="2:18" x14ac:dyDescent="0.25">
      <c r="B68" s="23" t="s">
        <v>32</v>
      </c>
      <c r="C68" s="46">
        <v>28.344000000000001</v>
      </c>
      <c r="D68" s="74"/>
      <c r="E68" s="46">
        <v>28.332000000000001</v>
      </c>
      <c r="F68" s="74">
        <v>28.916</v>
      </c>
      <c r="G68" s="46">
        <v>28.9</v>
      </c>
      <c r="H68" s="74">
        <v>28.893999999999998</v>
      </c>
      <c r="I68" s="46">
        <v>28.837</v>
      </c>
      <c r="J68" s="74">
        <v>28.837</v>
      </c>
      <c r="K68" s="46">
        <v>28.905000000000001</v>
      </c>
      <c r="L68" s="74">
        <v>28.577000000000002</v>
      </c>
      <c r="M68" s="46">
        <v>28.547999999999998</v>
      </c>
      <c r="N68" s="74">
        <v>28.498999999999999</v>
      </c>
      <c r="O68" s="73">
        <v>28.478999999999999</v>
      </c>
      <c r="P68" s="74">
        <v>28.428000000000001</v>
      </c>
      <c r="Q68" s="73">
        <v>28.451000000000001</v>
      </c>
      <c r="R68" s="74">
        <v>28.388000000000002</v>
      </c>
    </row>
    <row r="69" spans="2:18" x14ac:dyDescent="0.25">
      <c r="B69" s="23" t="s">
        <v>62</v>
      </c>
      <c r="C69" s="73">
        <v>0</v>
      </c>
      <c r="D69" s="74"/>
      <c r="E69" s="73">
        <v>0</v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  <c r="K69" s="73">
        <v>0</v>
      </c>
      <c r="L69" s="74">
        <v>0</v>
      </c>
      <c r="M69" s="73">
        <v>0</v>
      </c>
      <c r="N69" s="74">
        <v>0</v>
      </c>
      <c r="O69" s="73">
        <v>0</v>
      </c>
      <c r="P69" s="74">
        <v>0</v>
      </c>
      <c r="Q69" s="73">
        <v>0</v>
      </c>
      <c r="R69" s="74">
        <v>0</v>
      </c>
    </row>
    <row r="70" spans="2:18" x14ac:dyDescent="0.25">
      <c r="B70" s="23" t="s">
        <v>33</v>
      </c>
      <c r="C70" s="73">
        <v>0.32400000000000001</v>
      </c>
      <c r="D70" s="74"/>
      <c r="E70" s="73">
        <v>0.27600000000000002</v>
      </c>
      <c r="F70" s="74">
        <v>0.17199999999999999</v>
      </c>
      <c r="G70" s="73">
        <v>0.24</v>
      </c>
      <c r="H70" s="74">
        <v>0</v>
      </c>
      <c r="I70" s="73">
        <v>0</v>
      </c>
      <c r="J70" s="74">
        <v>0.872</v>
      </c>
      <c r="K70" s="73">
        <v>0.90100000000000002</v>
      </c>
      <c r="L70" s="74">
        <v>0.35099999999999998</v>
      </c>
      <c r="M70" s="73">
        <v>0.32300000000000001</v>
      </c>
      <c r="N70" s="74">
        <v>0</v>
      </c>
      <c r="O70" s="73">
        <v>0</v>
      </c>
      <c r="P70" s="74">
        <v>0</v>
      </c>
      <c r="Q70" s="73">
        <v>0</v>
      </c>
      <c r="R70" s="74">
        <v>0.29799999999999999</v>
      </c>
    </row>
    <row r="71" spans="2:18" x14ac:dyDescent="0.25">
      <c r="B71" s="23" t="s">
        <v>34</v>
      </c>
      <c r="C71" s="73">
        <v>1.1339999999999999</v>
      </c>
      <c r="D71" s="74"/>
      <c r="E71" s="73">
        <v>0.627</v>
      </c>
      <c r="F71" s="74">
        <v>0.98599999999999999</v>
      </c>
      <c r="G71" s="73">
        <v>1.006</v>
      </c>
      <c r="H71" s="74">
        <v>0.95599999999999996</v>
      </c>
      <c r="I71" s="73">
        <v>0.80400000000000005</v>
      </c>
      <c r="J71" s="74">
        <v>1.028</v>
      </c>
      <c r="K71" s="73">
        <v>1.016</v>
      </c>
      <c r="L71" s="74">
        <v>1.008</v>
      </c>
      <c r="M71" s="73">
        <v>0.93</v>
      </c>
      <c r="N71" s="74">
        <v>1.494</v>
      </c>
      <c r="O71" s="73">
        <v>1.3480000000000001</v>
      </c>
      <c r="P71" s="74">
        <v>1.181</v>
      </c>
      <c r="Q71" s="73">
        <v>1.0840000000000001</v>
      </c>
      <c r="R71" s="74">
        <v>0</v>
      </c>
    </row>
    <row r="72" spans="2:18" ht="15.75" thickBot="1" x14ac:dyDescent="0.3">
      <c r="B72" s="21" t="s">
        <v>35</v>
      </c>
      <c r="C72" s="75">
        <v>40.273000000000003</v>
      </c>
      <c r="D72" s="76"/>
      <c r="E72" s="75">
        <v>40.156999999999996</v>
      </c>
      <c r="F72" s="76">
        <v>36.792000000000002</v>
      </c>
      <c r="G72" s="75">
        <v>36.862000000000002</v>
      </c>
      <c r="H72" s="76">
        <v>36.777000000000001</v>
      </c>
      <c r="I72" s="75">
        <v>36.792000000000002</v>
      </c>
      <c r="J72" s="76">
        <v>36.844000000000001</v>
      </c>
      <c r="K72" s="75">
        <v>36.823999999999998</v>
      </c>
      <c r="L72" s="76">
        <v>36.692999999999998</v>
      </c>
      <c r="M72" s="75">
        <v>36.658000000000001</v>
      </c>
      <c r="N72" s="76">
        <v>40.683999999999997</v>
      </c>
      <c r="O72" s="75">
        <v>40.621000000000002</v>
      </c>
      <c r="P72" s="76">
        <v>40.491</v>
      </c>
      <c r="Q72" s="75">
        <v>40.478000000000002</v>
      </c>
      <c r="R72" s="76">
        <v>36.936999999999998</v>
      </c>
    </row>
    <row r="74" spans="2:18" ht="15.75" thickBot="1" x14ac:dyDescent="0.3"/>
    <row r="75" spans="2:18" ht="21.75" thickBot="1" x14ac:dyDescent="0.4">
      <c r="C75" s="181" t="s">
        <v>91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3"/>
    </row>
    <row r="76" spans="2:18" ht="30.75" thickBot="1" x14ac:dyDescent="0.3">
      <c r="C76" s="28" t="s">
        <v>37</v>
      </c>
      <c r="D76" s="30" t="s">
        <v>38</v>
      </c>
      <c r="E76" s="28" t="s">
        <v>76</v>
      </c>
      <c r="F76" s="30" t="s">
        <v>64</v>
      </c>
      <c r="G76" s="28" t="s">
        <v>39</v>
      </c>
      <c r="H76" s="30" t="s">
        <v>40</v>
      </c>
      <c r="I76" s="28" t="s">
        <v>41</v>
      </c>
      <c r="J76" s="30" t="s">
        <v>42</v>
      </c>
      <c r="K76" s="28" t="s">
        <v>43</v>
      </c>
      <c r="L76" s="30" t="s">
        <v>44</v>
      </c>
      <c r="M76" s="28" t="s">
        <v>45</v>
      </c>
      <c r="N76" s="30" t="s">
        <v>46</v>
      </c>
      <c r="O76" s="28" t="s">
        <v>49</v>
      </c>
      <c r="P76" s="30" t="s">
        <v>50</v>
      </c>
      <c r="Q76" s="29" t="s">
        <v>47</v>
      </c>
      <c r="R76" s="30" t="s">
        <v>48</v>
      </c>
    </row>
    <row r="77" spans="2:18" x14ac:dyDescent="0.25">
      <c r="C77" s="184" t="s">
        <v>57</v>
      </c>
      <c r="D77" s="185"/>
      <c r="E77" s="184" t="s">
        <v>57</v>
      </c>
      <c r="F77" s="185"/>
      <c r="G77" s="184" t="s">
        <v>57</v>
      </c>
      <c r="H77" s="185"/>
      <c r="I77" s="184" t="s">
        <v>57</v>
      </c>
      <c r="J77" s="185"/>
      <c r="K77" s="184" t="s">
        <v>57</v>
      </c>
      <c r="L77" s="185"/>
      <c r="M77" s="184" t="s">
        <v>57</v>
      </c>
      <c r="N77" s="185"/>
      <c r="O77" s="184" t="s">
        <v>57</v>
      </c>
      <c r="P77" s="185"/>
      <c r="Q77" s="184" t="s">
        <v>57</v>
      </c>
      <c r="R77" s="185"/>
    </row>
    <row r="78" spans="2:18" ht="15.75" thickBot="1" x14ac:dyDescent="0.3">
      <c r="C78" s="31" t="s">
        <v>58</v>
      </c>
      <c r="D78" s="32" t="s">
        <v>59</v>
      </c>
      <c r="E78" s="31" t="s">
        <v>58</v>
      </c>
      <c r="F78" s="32" t="s">
        <v>59</v>
      </c>
      <c r="G78" s="31" t="s">
        <v>58</v>
      </c>
      <c r="H78" s="32" t="s">
        <v>59</v>
      </c>
      <c r="I78" s="31" t="s">
        <v>58</v>
      </c>
      <c r="J78" s="32" t="s">
        <v>59</v>
      </c>
      <c r="K78" s="31" t="s">
        <v>58</v>
      </c>
      <c r="L78" s="32" t="s">
        <v>59</v>
      </c>
      <c r="M78" s="31" t="s">
        <v>58</v>
      </c>
      <c r="N78" s="32" t="s">
        <v>59</v>
      </c>
      <c r="O78" s="31" t="s">
        <v>58</v>
      </c>
      <c r="P78" s="32" t="s">
        <v>59</v>
      </c>
      <c r="Q78" s="31" t="s">
        <v>58</v>
      </c>
      <c r="R78" s="32" t="s">
        <v>59</v>
      </c>
    </row>
    <row r="79" spans="2:18" x14ac:dyDescent="0.25">
      <c r="B79" s="22" t="s">
        <v>31</v>
      </c>
      <c r="C79" s="71">
        <v>0.46200000000000002</v>
      </c>
      <c r="D79" s="72">
        <v>0.55600000000000005</v>
      </c>
      <c r="E79" s="71">
        <v>0.53700000000000003</v>
      </c>
      <c r="F79" s="72">
        <v>0.45300000000000001</v>
      </c>
      <c r="G79" s="71">
        <v>0.44</v>
      </c>
      <c r="H79" s="72">
        <v>0.433</v>
      </c>
      <c r="I79" s="71">
        <v>0.46700000000000003</v>
      </c>
      <c r="J79" s="72">
        <v>0.45700000000000002</v>
      </c>
      <c r="K79" s="71">
        <v>0.48199999999999998</v>
      </c>
      <c r="L79" s="72">
        <v>0.47399999999999998</v>
      </c>
      <c r="M79" s="71">
        <v>0.44800000000000001</v>
      </c>
      <c r="N79" s="72">
        <v>0.48399999999999999</v>
      </c>
      <c r="O79" s="71">
        <v>0.45200000000000001</v>
      </c>
      <c r="P79" s="72">
        <v>0.432</v>
      </c>
      <c r="Q79" s="71">
        <v>0.48099999999999998</v>
      </c>
      <c r="R79" s="72">
        <v>0.30399999999999999</v>
      </c>
    </row>
    <row r="80" spans="2:18" x14ac:dyDescent="0.25">
      <c r="B80" s="23" t="s">
        <v>32</v>
      </c>
      <c r="C80" s="46">
        <v>28.497</v>
      </c>
      <c r="D80" s="74">
        <v>29.125</v>
      </c>
      <c r="E80" s="46">
        <v>29.074999999999999</v>
      </c>
      <c r="F80" s="74">
        <v>28.266999999999999</v>
      </c>
      <c r="G80" s="46">
        <v>28.492999999999999</v>
      </c>
      <c r="H80" s="74">
        <v>28.513999999999999</v>
      </c>
      <c r="I80" s="46">
        <v>28.48</v>
      </c>
      <c r="J80" s="74">
        <v>28.120999999999999</v>
      </c>
      <c r="K80" s="46">
        <v>28.091000000000001</v>
      </c>
      <c r="L80" s="74">
        <v>28.318999999999999</v>
      </c>
      <c r="M80" s="46">
        <v>28.247</v>
      </c>
      <c r="N80" s="74">
        <v>29.183</v>
      </c>
      <c r="O80" s="73">
        <v>29.313199999999998</v>
      </c>
      <c r="P80" s="74">
        <v>28.952999999999999</v>
      </c>
      <c r="Q80" s="73">
        <v>28.992999999999999</v>
      </c>
      <c r="R80" s="74">
        <v>21.9</v>
      </c>
    </row>
    <row r="81" spans="2:18" x14ac:dyDescent="0.25">
      <c r="B81" s="23" t="s">
        <v>62</v>
      </c>
      <c r="C81" s="73">
        <v>0</v>
      </c>
      <c r="D81" s="74">
        <v>0</v>
      </c>
      <c r="E81" s="73">
        <v>0</v>
      </c>
      <c r="H81" s="74">
        <v>0</v>
      </c>
      <c r="I81" s="73">
        <v>0</v>
      </c>
      <c r="J81" s="74">
        <v>7.1999999999999995E-2</v>
      </c>
      <c r="K81" s="73">
        <v>9.0999999999999998E-2</v>
      </c>
      <c r="L81" s="74">
        <v>8.3000000000000004E-2</v>
      </c>
      <c r="M81" s="73">
        <v>9.7000000000000003E-2</v>
      </c>
      <c r="O81" s="73">
        <v>0</v>
      </c>
      <c r="P81" s="74">
        <v>0</v>
      </c>
      <c r="R81" s="74">
        <v>0</v>
      </c>
    </row>
    <row r="82" spans="2:18" x14ac:dyDescent="0.25">
      <c r="B82" s="23" t="s">
        <v>33</v>
      </c>
      <c r="C82" s="73">
        <v>0.26400000000000001</v>
      </c>
      <c r="D82" s="74">
        <v>0.27200000000000002</v>
      </c>
      <c r="E82" s="73">
        <v>0.308</v>
      </c>
      <c r="F82" s="74">
        <v>0.97899999999999998</v>
      </c>
      <c r="G82" s="73">
        <v>0.96099999999999997</v>
      </c>
      <c r="H82" s="74">
        <v>0.22900000000000001</v>
      </c>
      <c r="I82" s="73">
        <v>0.21199999999999999</v>
      </c>
      <c r="J82" s="74">
        <v>0.54900000000000004</v>
      </c>
      <c r="K82" s="73">
        <v>0.52800000000000002</v>
      </c>
      <c r="L82" s="74">
        <v>0.72799999999999998</v>
      </c>
      <c r="M82" s="73">
        <v>0.71</v>
      </c>
      <c r="N82" s="74">
        <v>0.22700000000000001</v>
      </c>
      <c r="O82" s="73">
        <v>0.21099999999999999</v>
      </c>
      <c r="P82" s="74">
        <v>0.312</v>
      </c>
      <c r="Q82" s="73">
        <v>0.30499999999999999</v>
      </c>
      <c r="R82" s="74">
        <v>0.24199999999999999</v>
      </c>
    </row>
    <row r="83" spans="2:18" x14ac:dyDescent="0.25">
      <c r="B83" s="23" t="s">
        <v>34</v>
      </c>
      <c r="C83" s="73">
        <v>0</v>
      </c>
      <c r="D83" s="74">
        <v>0</v>
      </c>
      <c r="E83" s="73">
        <v>0</v>
      </c>
      <c r="F83" s="74">
        <v>0.56399999999999995</v>
      </c>
      <c r="G83" s="73">
        <v>0.58099999999999996</v>
      </c>
      <c r="H83" s="74">
        <v>0.79200000000000004</v>
      </c>
      <c r="I83" s="73">
        <v>0.83499999999999996</v>
      </c>
      <c r="J83" s="74">
        <v>0.79900000000000004</v>
      </c>
      <c r="K83" s="73">
        <v>0.90100000000000002</v>
      </c>
      <c r="L83" s="74">
        <v>0.51700000000000002</v>
      </c>
      <c r="M83" s="73">
        <v>0.505</v>
      </c>
      <c r="N83" s="74">
        <v>0.83199999999999996</v>
      </c>
      <c r="O83" s="73">
        <v>0.88300000000000001</v>
      </c>
      <c r="P83" s="74">
        <v>0.58499999999999996</v>
      </c>
      <c r="Q83" s="73">
        <v>0.56399999999999995</v>
      </c>
      <c r="R83" s="74">
        <v>0</v>
      </c>
    </row>
    <row r="84" spans="2:18" ht="15.75" thickBot="1" x14ac:dyDescent="0.3">
      <c r="B84" s="21" t="s">
        <v>35</v>
      </c>
      <c r="C84" s="75">
        <v>37.034999999999997</v>
      </c>
      <c r="D84" s="76">
        <v>37.551000000000002</v>
      </c>
      <c r="E84" s="75">
        <v>37.646999999999998</v>
      </c>
      <c r="F84" s="76">
        <v>37.401000000000003</v>
      </c>
      <c r="G84" s="75">
        <v>37.371000000000002</v>
      </c>
      <c r="H84" s="76">
        <v>37.317999999999998</v>
      </c>
      <c r="I84" s="75">
        <v>37.344999999999999</v>
      </c>
      <c r="J84" s="76">
        <v>37.271999999999998</v>
      </c>
      <c r="K84" s="75">
        <v>37.255000000000003</v>
      </c>
      <c r="L84" s="76">
        <v>37.280999999999999</v>
      </c>
      <c r="M84" s="75">
        <v>37.338000000000001</v>
      </c>
      <c r="N84" s="76">
        <v>37.704999999999998</v>
      </c>
      <c r="O84" s="75">
        <v>37.811999999999998</v>
      </c>
      <c r="P84" s="76">
        <v>37.706000000000003</v>
      </c>
      <c r="Q84" s="75">
        <v>37.664000000000001</v>
      </c>
      <c r="R84" s="76">
        <v>28.238</v>
      </c>
    </row>
  </sheetData>
  <mergeCells count="82">
    <mergeCell ref="C75:R75"/>
    <mergeCell ref="C77:D77"/>
    <mergeCell ref="E77:F77"/>
    <mergeCell ref="G77:H77"/>
    <mergeCell ref="I77:J77"/>
    <mergeCell ref="K77:L77"/>
    <mergeCell ref="M77:N77"/>
    <mergeCell ref="O77:P77"/>
    <mergeCell ref="Q77:R77"/>
    <mergeCell ref="C63:R63"/>
    <mergeCell ref="C65:D65"/>
    <mergeCell ref="E65:F65"/>
    <mergeCell ref="G65:H65"/>
    <mergeCell ref="I65:J65"/>
    <mergeCell ref="K65:L65"/>
    <mergeCell ref="M65:N65"/>
    <mergeCell ref="O65:P65"/>
    <mergeCell ref="Q65:R65"/>
    <mergeCell ref="C40:D40"/>
    <mergeCell ref="O5:P5"/>
    <mergeCell ref="K17:L17"/>
    <mergeCell ref="M17:N17"/>
    <mergeCell ref="O17:P17"/>
    <mergeCell ref="C38:R38"/>
    <mergeCell ref="M28:N28"/>
    <mergeCell ref="O28:P28"/>
    <mergeCell ref="Q28:R28"/>
    <mergeCell ref="Q5:R5"/>
    <mergeCell ref="C28:D28"/>
    <mergeCell ref="E28:F28"/>
    <mergeCell ref="G28:H28"/>
    <mergeCell ref="I28:J28"/>
    <mergeCell ref="K28:L28"/>
    <mergeCell ref="E40:F40"/>
    <mergeCell ref="I40:J40"/>
    <mergeCell ref="K40:L40"/>
    <mergeCell ref="M40:N40"/>
    <mergeCell ref="O40:P40"/>
    <mergeCell ref="C3:R3"/>
    <mergeCell ref="C15:R15"/>
    <mergeCell ref="C17:D17"/>
    <mergeCell ref="E17:F17"/>
    <mergeCell ref="G17:H17"/>
    <mergeCell ref="I17:J17"/>
    <mergeCell ref="C5:D5"/>
    <mergeCell ref="E5:F5"/>
    <mergeCell ref="G5:H5"/>
    <mergeCell ref="I5:J5"/>
    <mergeCell ref="K5:L5"/>
    <mergeCell ref="M5:N5"/>
    <mergeCell ref="Q40:R40"/>
    <mergeCell ref="V4:AC4"/>
    <mergeCell ref="V3:AL3"/>
    <mergeCell ref="AE4:AL4"/>
    <mergeCell ref="V15:AL15"/>
    <mergeCell ref="V16:AC16"/>
    <mergeCell ref="AE16:AL16"/>
    <mergeCell ref="V26:AL26"/>
    <mergeCell ref="V27:AC27"/>
    <mergeCell ref="AE27:AL27"/>
    <mergeCell ref="V38:AL38"/>
    <mergeCell ref="V39:AC39"/>
    <mergeCell ref="AE39:AL39"/>
    <mergeCell ref="Q17:R17"/>
    <mergeCell ref="C26:R26"/>
    <mergeCell ref="G40:H40"/>
    <mergeCell ref="V52:AC52"/>
    <mergeCell ref="AE52:AL52"/>
    <mergeCell ref="C51:R51"/>
    <mergeCell ref="C53:D53"/>
    <mergeCell ref="E53:F53"/>
    <mergeCell ref="G53:H53"/>
    <mergeCell ref="I53:J53"/>
    <mergeCell ref="K53:L53"/>
    <mergeCell ref="M53:N53"/>
    <mergeCell ref="O53:P53"/>
    <mergeCell ref="Q53:R53"/>
    <mergeCell ref="AO4:AV4"/>
    <mergeCell ref="AX4:BE4"/>
    <mergeCell ref="AX16:BE16"/>
    <mergeCell ref="AO16:AV16"/>
    <mergeCell ref="V51:AL5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workbookViewId="0">
      <selection activeCell="O13" sqref="O13"/>
    </sheetView>
  </sheetViews>
  <sheetFormatPr defaultRowHeight="15" x14ac:dyDescent="0.25"/>
  <cols>
    <col min="1" max="1" width="5.140625" customWidth="1"/>
    <col min="2" max="2" width="14.5703125" customWidth="1"/>
    <col min="10" max="10" width="12.42578125" customWidth="1"/>
  </cols>
  <sheetData>
    <row r="1" spans="2:15" ht="15.75" thickBot="1" x14ac:dyDescent="0.3"/>
    <row r="2" spans="2:15" ht="15.75" thickBot="1" x14ac:dyDescent="0.3">
      <c r="B2" s="20"/>
      <c r="C2" s="20"/>
      <c r="D2" s="131">
        <v>19</v>
      </c>
      <c r="E2" s="132">
        <v>26</v>
      </c>
      <c r="F2" s="133">
        <v>34</v>
      </c>
      <c r="G2" s="133">
        <v>47</v>
      </c>
      <c r="H2" s="133">
        <v>56</v>
      </c>
      <c r="K2" s="131">
        <f>D2</f>
        <v>19</v>
      </c>
      <c r="L2" s="131">
        <f t="shared" ref="L2:O2" si="0">E2</f>
        <v>26</v>
      </c>
      <c r="M2" s="131">
        <f t="shared" si="0"/>
        <v>34</v>
      </c>
      <c r="N2" s="131">
        <f t="shared" si="0"/>
        <v>47</v>
      </c>
      <c r="O2" s="131">
        <f t="shared" si="0"/>
        <v>56</v>
      </c>
    </row>
    <row r="3" spans="2:15" ht="15.75" thickBot="1" x14ac:dyDescent="0.3">
      <c r="B3" s="28" t="s">
        <v>51</v>
      </c>
      <c r="C3" s="129" t="s">
        <v>58</v>
      </c>
      <c r="D3">
        <v>0.35</v>
      </c>
      <c r="E3">
        <v>0.15</v>
      </c>
      <c r="F3">
        <v>0.11</v>
      </c>
      <c r="G3">
        <v>0.05</v>
      </c>
      <c r="H3">
        <v>0.05</v>
      </c>
      <c r="J3" s="128" t="s">
        <v>51</v>
      </c>
      <c r="K3">
        <f>AVERAGE(D3:D4)</f>
        <v>0.35</v>
      </c>
      <c r="L3" s="172">
        <f t="shared" ref="L3:O3" si="1">AVERAGE(E3:E4)</f>
        <v>0.13500000000000001</v>
      </c>
      <c r="M3">
        <f t="shared" si="1"/>
        <v>0.11</v>
      </c>
      <c r="N3">
        <f>AVERAGE(G3:G4)</f>
        <v>4.4999999999999998E-2</v>
      </c>
      <c r="O3">
        <f t="shared" si="1"/>
        <v>4.4999999999999998E-2</v>
      </c>
    </row>
    <row r="4" spans="2:15" ht="15.75" thickBot="1" x14ac:dyDescent="0.3">
      <c r="B4" s="29"/>
      <c r="C4" s="130" t="s">
        <v>59</v>
      </c>
      <c r="D4">
        <v>0.35</v>
      </c>
      <c r="E4">
        <v>0.12</v>
      </c>
      <c r="F4">
        <v>0.11</v>
      </c>
      <c r="G4">
        <v>0.04</v>
      </c>
      <c r="H4">
        <v>0.04</v>
      </c>
      <c r="J4" s="29"/>
      <c r="L4" s="172"/>
    </row>
    <row r="5" spans="2:15" ht="15.75" thickBot="1" x14ac:dyDescent="0.3">
      <c r="B5" s="28" t="s">
        <v>86</v>
      </c>
      <c r="C5" s="129" t="s">
        <v>58</v>
      </c>
      <c r="D5">
        <v>0.03</v>
      </c>
      <c r="E5" s="100" t="s">
        <v>87</v>
      </c>
      <c r="F5">
        <v>0.08</v>
      </c>
      <c r="G5">
        <v>0.18</v>
      </c>
      <c r="H5">
        <v>0.08</v>
      </c>
      <c r="J5" s="28" t="s">
        <v>86</v>
      </c>
      <c r="K5">
        <f>AVERAGE(D5:D6)</f>
        <v>0.03</v>
      </c>
      <c r="L5" s="172" t="e">
        <f>AVERAGE(E5:E6)</f>
        <v>#DIV/0!</v>
      </c>
      <c r="M5">
        <f t="shared" ref="M5" si="2">AVERAGE(F5:F6)</f>
        <v>0.08</v>
      </c>
      <c r="N5">
        <f>AVERAGE(G5:G6)</f>
        <v>0.185</v>
      </c>
      <c r="O5">
        <f t="shared" ref="O5" si="3">AVERAGE(H5:H6)</f>
        <v>7.5000000000000011E-2</v>
      </c>
    </row>
    <row r="6" spans="2:15" ht="15.75" thickBot="1" x14ac:dyDescent="0.3">
      <c r="B6" s="29"/>
      <c r="C6" s="130" t="s">
        <v>59</v>
      </c>
      <c r="D6">
        <v>0.03</v>
      </c>
      <c r="E6" s="100" t="s">
        <v>87</v>
      </c>
      <c r="F6">
        <v>0.08</v>
      </c>
      <c r="G6">
        <v>0.19</v>
      </c>
      <c r="H6">
        <v>7.0000000000000007E-2</v>
      </c>
      <c r="J6" s="29"/>
      <c r="L6" s="172"/>
    </row>
    <row r="7" spans="2:15" ht="15.75" thickBot="1" x14ac:dyDescent="0.3">
      <c r="B7" s="28" t="s">
        <v>18</v>
      </c>
      <c r="C7" s="129" t="s">
        <v>58</v>
      </c>
      <c r="D7">
        <v>0.03</v>
      </c>
      <c r="E7" s="100" t="s">
        <v>87</v>
      </c>
      <c r="F7" s="100" t="s">
        <v>87</v>
      </c>
      <c r="G7" s="100" t="s">
        <v>87</v>
      </c>
      <c r="H7">
        <v>7.0000000000000007E-2</v>
      </c>
      <c r="J7" s="28" t="s">
        <v>18</v>
      </c>
      <c r="K7">
        <f>AVERAGE(D7:D8)</f>
        <v>0.03</v>
      </c>
      <c r="L7" s="172" t="e">
        <f t="shared" ref="L7" si="4">AVERAGE(E7:E8)</f>
        <v>#DIV/0!</v>
      </c>
      <c r="M7" t="e">
        <f t="shared" ref="M7" si="5">AVERAGE(F7:F8)</f>
        <v>#DIV/0!</v>
      </c>
      <c r="N7" t="e">
        <f>AVERAGE(G7:G8)</f>
        <v>#DIV/0!</v>
      </c>
      <c r="O7">
        <f t="shared" ref="O7" si="6">AVERAGE(H7:H8)</f>
        <v>6.5000000000000002E-2</v>
      </c>
    </row>
    <row r="8" spans="2:15" ht="15.75" thickBot="1" x14ac:dyDescent="0.3">
      <c r="B8" s="29"/>
      <c r="C8" s="130" t="s">
        <v>59</v>
      </c>
      <c r="D8">
        <v>0.03</v>
      </c>
      <c r="E8" s="100" t="s">
        <v>87</v>
      </c>
      <c r="F8" s="100" t="s">
        <v>87</v>
      </c>
      <c r="G8" s="100" t="s">
        <v>87</v>
      </c>
      <c r="H8">
        <v>0.06</v>
      </c>
      <c r="J8" s="29"/>
      <c r="L8" s="172"/>
    </row>
    <row r="9" spans="2:15" ht="15.75" thickBot="1" x14ac:dyDescent="0.3">
      <c r="B9" s="28" t="s">
        <v>19</v>
      </c>
      <c r="C9" s="129" t="s">
        <v>58</v>
      </c>
      <c r="D9" s="100" t="s">
        <v>87</v>
      </c>
      <c r="E9" s="100" t="s">
        <v>87</v>
      </c>
      <c r="F9" s="100" t="s">
        <v>87</v>
      </c>
      <c r="G9" s="100" t="s">
        <v>87</v>
      </c>
      <c r="H9">
        <v>0.09</v>
      </c>
      <c r="J9" s="28" t="s">
        <v>19</v>
      </c>
      <c r="K9" t="e">
        <f>AVERAGE(D9:D10)</f>
        <v>#DIV/0!</v>
      </c>
      <c r="L9" s="172" t="e">
        <f t="shared" ref="L9" si="7">AVERAGE(E9:E10)</f>
        <v>#DIV/0!</v>
      </c>
      <c r="M9" t="e">
        <f t="shared" ref="M9" si="8">AVERAGE(F9:F10)</f>
        <v>#DIV/0!</v>
      </c>
      <c r="N9" t="e">
        <f>AVERAGE(G9:G10)</f>
        <v>#DIV/0!</v>
      </c>
      <c r="O9">
        <f t="shared" ref="O9" si="9">AVERAGE(H9:H10)</f>
        <v>0.09</v>
      </c>
    </row>
    <row r="10" spans="2:15" ht="15.75" thickBot="1" x14ac:dyDescent="0.3">
      <c r="B10" s="29"/>
      <c r="C10" s="130" t="s">
        <v>59</v>
      </c>
      <c r="D10" s="100" t="s">
        <v>87</v>
      </c>
      <c r="E10" s="100" t="s">
        <v>87</v>
      </c>
      <c r="F10" s="100" t="s">
        <v>87</v>
      </c>
      <c r="G10" s="100" t="s">
        <v>87</v>
      </c>
      <c r="H10">
        <v>0.09</v>
      </c>
      <c r="J10" s="29"/>
      <c r="L10" s="172"/>
    </row>
    <row r="11" spans="2:15" ht="15.75" thickBot="1" x14ac:dyDescent="0.3">
      <c r="B11" s="28" t="s">
        <v>20</v>
      </c>
      <c r="C11" s="129" t="s">
        <v>58</v>
      </c>
      <c r="D11" s="100" t="s">
        <v>87</v>
      </c>
      <c r="E11" s="100" t="s">
        <v>87</v>
      </c>
      <c r="F11" s="100" t="s">
        <v>87</v>
      </c>
      <c r="G11" s="100" t="s">
        <v>87</v>
      </c>
      <c r="H11">
        <v>7.0000000000000007E-2</v>
      </c>
      <c r="J11" s="28" t="s">
        <v>20</v>
      </c>
      <c r="K11" t="e">
        <f>AVERAGE(D11:D12)</f>
        <v>#DIV/0!</v>
      </c>
      <c r="L11" s="172" t="e">
        <f t="shared" ref="L11" si="10">AVERAGE(E11:E12)</f>
        <v>#DIV/0!</v>
      </c>
      <c r="M11" t="e">
        <f t="shared" ref="M11" si="11">AVERAGE(F11:F12)</f>
        <v>#DIV/0!</v>
      </c>
      <c r="N11" t="e">
        <f>AVERAGE(G11:G12)</f>
        <v>#DIV/0!</v>
      </c>
      <c r="O11">
        <f t="shared" ref="O11" si="12">AVERAGE(H11:H12)</f>
        <v>6.5000000000000002E-2</v>
      </c>
    </row>
    <row r="12" spans="2:15" ht="15.75" thickBot="1" x14ac:dyDescent="0.3">
      <c r="B12" s="29"/>
      <c r="C12" s="130" t="s">
        <v>59</v>
      </c>
      <c r="D12" s="100" t="s">
        <v>87</v>
      </c>
      <c r="E12" s="100" t="s">
        <v>87</v>
      </c>
      <c r="F12" s="100" t="s">
        <v>87</v>
      </c>
      <c r="G12" s="100" t="s">
        <v>87</v>
      </c>
      <c r="H12">
        <v>0.06</v>
      </c>
      <c r="J12" s="29"/>
      <c r="L12" s="172"/>
    </row>
    <row r="13" spans="2:15" ht="15.75" thickBot="1" x14ac:dyDescent="0.3">
      <c r="B13" s="28" t="s">
        <v>21</v>
      </c>
      <c r="C13" s="129" t="s">
        <v>58</v>
      </c>
      <c r="D13" s="100" t="s">
        <v>87</v>
      </c>
      <c r="E13">
        <v>0.04</v>
      </c>
      <c r="F13" s="100" t="s">
        <v>87</v>
      </c>
      <c r="G13" s="100" t="s">
        <v>87</v>
      </c>
      <c r="H13">
        <v>0.06</v>
      </c>
      <c r="J13" s="28" t="s">
        <v>21</v>
      </c>
      <c r="K13" t="e">
        <f>AVERAGE(D13:D14)</f>
        <v>#DIV/0!</v>
      </c>
      <c r="L13" s="172">
        <f t="shared" ref="L13" si="13">AVERAGE(E13:E14)</f>
        <v>3.5000000000000003E-2</v>
      </c>
      <c r="M13" t="e">
        <f t="shared" ref="M13" si="14">AVERAGE(F13:F14)</f>
        <v>#DIV/0!</v>
      </c>
      <c r="N13" t="e">
        <f>AVERAGE(G13:G14)</f>
        <v>#DIV/0!</v>
      </c>
      <c r="O13">
        <f t="shared" ref="O13" si="15">AVERAGE(H13:H14)</f>
        <v>0.06</v>
      </c>
    </row>
    <row r="14" spans="2:15" ht="15.75" thickBot="1" x14ac:dyDescent="0.3">
      <c r="B14" s="29"/>
      <c r="C14" s="130" t="s">
        <v>59</v>
      </c>
      <c r="D14" s="100" t="s">
        <v>87</v>
      </c>
      <c r="E14">
        <v>0.03</v>
      </c>
      <c r="F14" s="100" t="s">
        <v>87</v>
      </c>
      <c r="G14" s="100" t="s">
        <v>87</v>
      </c>
      <c r="H14">
        <v>0.06</v>
      </c>
      <c r="J14" s="29"/>
      <c r="L14" s="172"/>
    </row>
    <row r="15" spans="2:15" ht="15.75" thickBot="1" x14ac:dyDescent="0.3">
      <c r="B15" s="28" t="s">
        <v>65</v>
      </c>
      <c r="C15" s="129" t="s">
        <v>58</v>
      </c>
      <c r="D15">
        <v>0.5</v>
      </c>
      <c r="E15">
        <v>0.08</v>
      </c>
      <c r="F15">
        <v>0.08</v>
      </c>
      <c r="G15">
        <v>0.31</v>
      </c>
      <c r="H15">
        <v>0.13</v>
      </c>
      <c r="J15" s="28" t="s">
        <v>65</v>
      </c>
      <c r="K15">
        <f>AVERAGE(D15:D16)</f>
        <v>0.5</v>
      </c>
      <c r="L15" s="172">
        <f t="shared" ref="L15" si="16">AVERAGE(E15:E16)</f>
        <v>0.08</v>
      </c>
      <c r="M15">
        <f t="shared" ref="M15" si="17">AVERAGE(F15:F16)</f>
        <v>0.08</v>
      </c>
      <c r="N15">
        <f>AVERAGE(G15:G16)</f>
        <v>0.30499999999999999</v>
      </c>
      <c r="O15">
        <f t="shared" ref="O15" si="18">AVERAGE(H15:H16)</f>
        <v>0.13</v>
      </c>
    </row>
    <row r="16" spans="2:15" ht="15.75" thickBot="1" x14ac:dyDescent="0.3">
      <c r="B16" s="29"/>
      <c r="C16" s="130" t="s">
        <v>59</v>
      </c>
      <c r="D16">
        <v>0.5</v>
      </c>
      <c r="E16">
        <v>0.08</v>
      </c>
      <c r="F16">
        <v>0.08</v>
      </c>
      <c r="G16">
        <v>0.3</v>
      </c>
      <c r="H16">
        <v>0.13</v>
      </c>
      <c r="J16" s="29"/>
      <c r="L16" s="172"/>
    </row>
    <row r="17" spans="2:15" ht="15.75" thickBot="1" x14ac:dyDescent="0.3">
      <c r="B17" s="128" t="s">
        <v>66</v>
      </c>
      <c r="C17" s="129" t="s">
        <v>58</v>
      </c>
      <c r="D17">
        <v>0.62</v>
      </c>
      <c r="E17">
        <v>0.14000000000000001</v>
      </c>
      <c r="F17">
        <v>0.12</v>
      </c>
      <c r="G17">
        <v>0.34</v>
      </c>
      <c r="H17">
        <v>0.11</v>
      </c>
      <c r="J17" s="128" t="s">
        <v>66</v>
      </c>
      <c r="K17">
        <f>AVERAGE(D17:D18)</f>
        <v>0.62</v>
      </c>
      <c r="L17" s="172">
        <f t="shared" ref="L17" si="19">AVERAGE(E17:E18)</f>
        <v>0.13500000000000001</v>
      </c>
      <c r="M17" s="2">
        <f t="shared" ref="M17:O17" si="20">AVERAGE(F17:F18)</f>
        <v>0.125</v>
      </c>
      <c r="N17" s="2">
        <f t="shared" si="20"/>
        <v>0.33500000000000002</v>
      </c>
      <c r="O17" s="2">
        <f t="shared" si="20"/>
        <v>0.11499999999999999</v>
      </c>
    </row>
    <row r="18" spans="2:15" ht="15.75" thickBot="1" x14ac:dyDescent="0.3">
      <c r="B18" s="24"/>
      <c r="C18" s="130" t="s">
        <v>59</v>
      </c>
      <c r="D18">
        <v>0.62</v>
      </c>
      <c r="E18">
        <v>0.13</v>
      </c>
      <c r="F18">
        <v>0.13</v>
      </c>
      <c r="G18">
        <v>0.33</v>
      </c>
      <c r="H18">
        <v>0.12</v>
      </c>
    </row>
  </sheetData>
  <pageMargins left="0.7" right="0.7" top="0.75" bottom="0.75" header="0.3" footer="0.3"/>
  <ignoredErrors>
    <ignoredError sqref="K3:L3 K5 K7 K15 K17:M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Pumps</vt:lpstr>
      <vt:lpstr>TOC1</vt:lpstr>
      <vt:lpstr>IC</vt:lpstr>
      <vt:lpstr>Ammonia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Vignola</dc:creator>
  <cp:lastModifiedBy>Marta Vignola (PGR)</cp:lastModifiedBy>
  <dcterms:created xsi:type="dcterms:W3CDTF">2014-06-13T09:26:50Z</dcterms:created>
  <dcterms:modified xsi:type="dcterms:W3CDTF">2017-03-02T15:11:24Z</dcterms:modified>
</cp:coreProperties>
</file>